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updateLinks="always"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0" documentId="13_ncr:1_{09928D69-252B-8D4E-85D1-D73439193EB1}" xr6:coauthVersionLast="47" xr6:coauthVersionMax="47" xr10:uidLastSave="{00000000-0000-0000-0000-000000000000}"/>
  <bookViews>
    <workbookView xWindow="0" yWindow="680" windowWidth="34200" windowHeight="20140" firstSheet="8" activeTab="8" xr2:uid="{00000000-000D-0000-FFFF-FFFF00000000}"/>
  </bookViews>
  <sheets>
    <sheet name="Rentroll" sheetId="1" r:id="rId1"/>
    <sheet name="Businessplan_prodej" sheetId="2" r:id="rId2"/>
    <sheet name="HMG" sheetId="3" state="hidden" r:id="rId3"/>
    <sheet name="OneReport" sheetId="4" state="hidden" r:id="rId4"/>
    <sheet name="Harmonogram" sheetId="5" state="hidden" r:id="rId5"/>
    <sheet name="Cash-flow BASE" sheetId="6" state="hidden" r:id="rId6"/>
    <sheet name="Interest Calc EQ BASE" sheetId="7" state="hidden" r:id="rId7"/>
    <sheet name=" Cash-flow 5.5.2025" sheetId="8" state="hidden" r:id="rId8"/>
    <sheet name="CF" sheetId="9" r:id="rId9"/>
    <sheet name="Cash-flow old" sheetId="10" state="hidden" r:id="rId10"/>
    <sheet name=" Interest Calc" sheetId="11" state="hidden" r:id="rId11"/>
    <sheet name="Kopie listu  Cash-flow 7.4.2025" sheetId="12" state="hidden" r:id="rId12"/>
    <sheet name="Charts" sheetId="13" state="hidden" r:id="rId13"/>
    <sheet name="Harmomogram" sheetId="14" state="hidden" r:id="rId14"/>
    <sheet name="EQ CF" sheetId="15" state="hidden" r:id="rId15"/>
    <sheet name="Params" sheetId="16" state="hidden" r:id="rId16"/>
    <sheet name="Businessplan_pravo_stavby" sheetId="17" state="hidden" r:id="rId17"/>
  </sheets>
  <externalReferences>
    <externalReference r:id="rId18"/>
  </externalReferences>
  <definedNames>
    <definedName name="_xlnm._FilterDatabase" localSheetId="3" hidden="1">OneReport!$A$2:$G$10</definedName>
    <definedName name="dokonceni">Rentroll!$Z$1:$Z$3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41" i="9" l="1"/>
  <c r="AL40" i="9"/>
  <c r="AB53" i="9"/>
  <c r="AB44" i="9"/>
  <c r="AC46" i="9"/>
  <c r="AC25" i="9"/>
  <c r="AB25" i="9"/>
  <c r="AC76" i="9"/>
  <c r="AL53" i="9"/>
  <c r="AM53" i="9"/>
  <c r="AM47" i="9"/>
  <c r="AM46" i="9"/>
  <c r="AM45" i="9"/>
  <c r="AK41" i="9"/>
  <c r="AB41" i="9"/>
  <c r="AD41" i="9"/>
  <c r="AE41" i="9"/>
  <c r="AF41" i="9"/>
  <c r="AG41" i="9"/>
  <c r="AH41" i="9"/>
  <c r="AI41" i="9"/>
  <c r="AJ41" i="9"/>
  <c r="AD26" i="9"/>
  <c r="AE26" i="9"/>
  <c r="AF26" i="9"/>
  <c r="AG26" i="9"/>
  <c r="AA41" i="9"/>
  <c r="AA53" i="9"/>
  <c r="AA44" i="9"/>
  <c r="AF46" i="9"/>
  <c r="Z53" i="9"/>
  <c r="Z44" i="9"/>
  <c r="X53" i="9"/>
  <c r="X44" i="9"/>
  <c r="W53" i="9"/>
  <c r="W45" i="9"/>
  <c r="W44" i="9"/>
  <c r="A1" i="14"/>
  <c r="AC45" i="9"/>
  <c r="AD45" i="9"/>
  <c r="AE45" i="9"/>
  <c r="AF45" i="9"/>
  <c r="AG45" i="9"/>
  <c r="AH45" i="9"/>
  <c r="AI45" i="9"/>
  <c r="AJ45" i="9"/>
  <c r="AK45" i="9"/>
  <c r="AL45" i="9"/>
  <c r="AA45" i="9"/>
  <c r="AK46" i="9"/>
  <c r="AL46" i="9"/>
  <c r="AK47" i="9"/>
  <c r="AL47" i="9"/>
  <c r="AL62" i="9"/>
  <c r="AL10" i="9" s="1"/>
  <c r="AK40" i="9"/>
  <c r="AD32" i="9"/>
  <c r="AF32" i="9"/>
  <c r="L2" i="1"/>
  <c r="AK53" i="9"/>
  <c r="AK62" i="9"/>
  <c r="AK10" i="9" s="1"/>
  <c r="AG47" i="9"/>
  <c r="AC47" i="9"/>
  <c r="AE32" i="9"/>
  <c r="AI32" i="9"/>
  <c r="AJ40" i="9"/>
  <c r="Y53" i="9"/>
  <c r="Y44" i="9"/>
  <c r="W5" i="9"/>
  <c r="F8" i="2"/>
  <c r="H1" i="4"/>
  <c r="E42" i="17"/>
  <c r="E41" i="17"/>
  <c r="E43" i="17" s="1"/>
  <c r="R39" i="17"/>
  <c r="R40" i="17" s="1"/>
  <c r="R41" i="17" s="1"/>
  <c r="R42" i="17" s="1"/>
  <c r="E38" i="17"/>
  <c r="E37" i="17"/>
  <c r="E34" i="17"/>
  <c r="E33" i="17"/>
  <c r="Q30" i="17"/>
  <c r="E30" i="17"/>
  <c r="Q28" i="17"/>
  <c r="F21" i="17"/>
  <c r="F20" i="17"/>
  <c r="N19" i="17"/>
  <c r="F19" i="17"/>
  <c r="F18" i="17"/>
  <c r="R17" i="17"/>
  <c r="F17" i="17"/>
  <c r="M16" i="17"/>
  <c r="K16" i="17"/>
  <c r="J16" i="17"/>
  <c r="I16" i="17"/>
  <c r="M15" i="17"/>
  <c r="K15" i="17"/>
  <c r="J15" i="17"/>
  <c r="I15" i="17"/>
  <c r="M14" i="17"/>
  <c r="K14" i="17"/>
  <c r="J14" i="17"/>
  <c r="I14" i="17"/>
  <c r="M13" i="17"/>
  <c r="K13" i="17"/>
  <c r="J13" i="17"/>
  <c r="I13" i="17"/>
  <c r="K12" i="17"/>
  <c r="J12" i="17"/>
  <c r="I12" i="17"/>
  <c r="K11" i="17"/>
  <c r="J11" i="17"/>
  <c r="I11" i="17"/>
  <c r="K10" i="17"/>
  <c r="J10" i="17"/>
  <c r="I10" i="17"/>
  <c r="K9" i="17"/>
  <c r="J9" i="17"/>
  <c r="I9" i="17"/>
  <c r="E9" i="17"/>
  <c r="K8" i="17"/>
  <c r="F16" i="17" s="1"/>
  <c r="J8" i="17"/>
  <c r="I8" i="17"/>
  <c r="F8" i="17"/>
  <c r="D102" i="15"/>
  <c r="BX96" i="15"/>
  <c r="BX95" i="15"/>
  <c r="D104" i="15" s="1"/>
  <c r="BW95" i="15"/>
  <c r="BV95" i="15"/>
  <c r="BU95" i="15"/>
  <c r="BT95" i="15"/>
  <c r="BS95" i="15"/>
  <c r="BR95" i="15"/>
  <c r="BQ95" i="15"/>
  <c r="BP95" i="15"/>
  <c r="BO95" i="15"/>
  <c r="BN95" i="15"/>
  <c r="BM95" i="15"/>
  <c r="BL95" i="15"/>
  <c r="BK95" i="15"/>
  <c r="BJ95" i="15"/>
  <c r="BI95" i="15"/>
  <c r="BH95" i="15"/>
  <c r="BG95" i="15"/>
  <c r="BF95" i="15"/>
  <c r="BE95" i="15"/>
  <c r="BD95" i="15"/>
  <c r="BC95" i="15"/>
  <c r="BB95" i="15"/>
  <c r="BA95" i="15"/>
  <c r="AZ95" i="15"/>
  <c r="AY95" i="15"/>
  <c r="AX95" i="15"/>
  <c r="AW95" i="15"/>
  <c r="AV95" i="15"/>
  <c r="AU95" i="15"/>
  <c r="AT95" i="15"/>
  <c r="AS95" i="15"/>
  <c r="AR95" i="15"/>
  <c r="AQ95" i="15"/>
  <c r="AP95" i="15"/>
  <c r="AO95" i="15"/>
  <c r="AN95" i="15"/>
  <c r="AM95" i="15"/>
  <c r="AL95" i="15"/>
  <c r="AK95" i="15"/>
  <c r="AJ95" i="15"/>
  <c r="AI95" i="15"/>
  <c r="AH95" i="15"/>
  <c r="AG95" i="15"/>
  <c r="AF95" i="15"/>
  <c r="AE95" i="15"/>
  <c r="AD95" i="15"/>
  <c r="AC95" i="15"/>
  <c r="AB95" i="15"/>
  <c r="AA95" i="15"/>
  <c r="Z95" i="15"/>
  <c r="Y95" i="15"/>
  <c r="X95" i="15"/>
  <c r="W95" i="15"/>
  <c r="V95" i="15"/>
  <c r="U95" i="15"/>
  <c r="T95" i="15"/>
  <c r="S95" i="15"/>
  <c r="R95" i="15"/>
  <c r="Q95" i="15"/>
  <c r="P95" i="15"/>
  <c r="O95" i="15"/>
  <c r="N95" i="15"/>
  <c r="M95" i="15"/>
  <c r="L95" i="15"/>
  <c r="K95" i="15"/>
  <c r="J95" i="15"/>
  <c r="I95" i="15"/>
  <c r="H95" i="15"/>
  <c r="G95" i="15"/>
  <c r="F95" i="15"/>
  <c r="E95" i="15"/>
  <c r="BX93" i="15"/>
  <c r="BX98" i="15" s="1"/>
  <c r="BW93" i="15"/>
  <c r="BW98" i="15" s="1"/>
  <c r="BV93" i="15"/>
  <c r="BV98" i="15" s="1"/>
  <c r="BU93" i="15"/>
  <c r="BU98" i="15" s="1"/>
  <c r="BT93" i="15"/>
  <c r="BT98" i="15" s="1"/>
  <c r="BS93" i="15"/>
  <c r="BS98" i="15" s="1"/>
  <c r="BR93" i="15"/>
  <c r="BR98" i="15" s="1"/>
  <c r="BQ93" i="15"/>
  <c r="BQ98" i="15" s="1"/>
  <c r="BP93" i="15"/>
  <c r="BP98" i="15" s="1"/>
  <c r="BO93" i="15"/>
  <c r="BO98" i="15" s="1"/>
  <c r="BN93" i="15"/>
  <c r="BN98" i="15" s="1"/>
  <c r="BM93" i="15"/>
  <c r="BM98" i="15" s="1"/>
  <c r="BL93" i="15"/>
  <c r="BL98" i="15" s="1"/>
  <c r="BK93" i="15"/>
  <c r="BK98" i="15" s="1"/>
  <c r="BJ93" i="15"/>
  <c r="BJ98" i="15" s="1"/>
  <c r="BI93" i="15"/>
  <c r="BI98" i="15" s="1"/>
  <c r="BH93" i="15"/>
  <c r="BH98" i="15" s="1"/>
  <c r="BG93" i="15"/>
  <c r="BG98" i="15" s="1"/>
  <c r="BF93" i="15"/>
  <c r="BF98" i="15" s="1"/>
  <c r="BE93" i="15"/>
  <c r="BE98" i="15" s="1"/>
  <c r="BD93" i="15"/>
  <c r="BD98" i="15" s="1"/>
  <c r="BC93" i="15"/>
  <c r="BC98" i="15" s="1"/>
  <c r="BB93" i="15"/>
  <c r="BB98" i="15" s="1"/>
  <c r="BA93" i="15"/>
  <c r="BA98" i="15" s="1"/>
  <c r="AZ93" i="15"/>
  <c r="AZ98" i="15" s="1"/>
  <c r="AY93" i="15"/>
  <c r="AY98" i="15" s="1"/>
  <c r="AX93" i="15"/>
  <c r="AX98" i="15" s="1"/>
  <c r="AW93" i="15"/>
  <c r="AW98" i="15" s="1"/>
  <c r="AV93" i="15"/>
  <c r="AV98" i="15" s="1"/>
  <c r="AU93" i="15"/>
  <c r="AU98" i="15" s="1"/>
  <c r="AT93" i="15"/>
  <c r="AT98" i="15" s="1"/>
  <c r="AS93" i="15"/>
  <c r="AS98" i="15" s="1"/>
  <c r="AR93" i="15"/>
  <c r="AR98" i="15" s="1"/>
  <c r="AQ93" i="15"/>
  <c r="AQ98" i="15" s="1"/>
  <c r="AP93" i="15"/>
  <c r="AP98" i="15" s="1"/>
  <c r="AO93" i="15"/>
  <c r="AO98" i="15" s="1"/>
  <c r="AN93" i="15"/>
  <c r="AN98" i="15" s="1"/>
  <c r="AM93" i="15"/>
  <c r="AM98" i="15" s="1"/>
  <c r="AL93" i="15"/>
  <c r="AL98" i="15" s="1"/>
  <c r="AK93" i="15"/>
  <c r="AK98" i="15" s="1"/>
  <c r="AJ93" i="15"/>
  <c r="AJ98" i="15" s="1"/>
  <c r="AI93" i="15"/>
  <c r="AI98" i="15" s="1"/>
  <c r="AH93" i="15"/>
  <c r="AH98" i="15" s="1"/>
  <c r="AG93" i="15"/>
  <c r="AG98" i="15" s="1"/>
  <c r="AF93" i="15"/>
  <c r="AF98" i="15" s="1"/>
  <c r="AE93" i="15"/>
  <c r="AE98" i="15" s="1"/>
  <c r="AD93" i="15"/>
  <c r="AD98" i="15" s="1"/>
  <c r="AC93" i="15"/>
  <c r="AC98" i="15" s="1"/>
  <c r="AB93" i="15"/>
  <c r="AB98" i="15" s="1"/>
  <c r="AA93" i="15"/>
  <c r="AA98" i="15" s="1"/>
  <c r="Z93" i="15"/>
  <c r="Z98" i="15" s="1"/>
  <c r="Y93" i="15"/>
  <c r="Y98" i="15" s="1"/>
  <c r="X93" i="15"/>
  <c r="X98" i="15" s="1"/>
  <c r="W93" i="15"/>
  <c r="W98" i="15" s="1"/>
  <c r="V93" i="15"/>
  <c r="V98" i="15" s="1"/>
  <c r="U93" i="15"/>
  <c r="U98" i="15" s="1"/>
  <c r="T93" i="15"/>
  <c r="T98" i="15" s="1"/>
  <c r="S93" i="15"/>
  <c r="S98" i="15" s="1"/>
  <c r="R93" i="15"/>
  <c r="R98" i="15" s="1"/>
  <c r="Q93" i="15"/>
  <c r="Q98" i="15" s="1"/>
  <c r="P93" i="15"/>
  <c r="P98" i="15" s="1"/>
  <c r="O93" i="15"/>
  <c r="O98" i="15" s="1"/>
  <c r="N93" i="15"/>
  <c r="N98" i="15" s="1"/>
  <c r="M93" i="15"/>
  <c r="M98" i="15" s="1"/>
  <c r="L93" i="15"/>
  <c r="L98" i="15" s="1"/>
  <c r="K93" i="15"/>
  <c r="K98" i="15" s="1"/>
  <c r="J93" i="15"/>
  <c r="J98" i="15" s="1"/>
  <c r="I93" i="15"/>
  <c r="I98" i="15" s="1"/>
  <c r="H93" i="15"/>
  <c r="H98" i="15" s="1"/>
  <c r="G93" i="15"/>
  <c r="G98" i="15" s="1"/>
  <c r="F93" i="15"/>
  <c r="F98" i="15" s="1"/>
  <c r="E93" i="15"/>
  <c r="E98" i="15" s="1"/>
  <c r="D85" i="15"/>
  <c r="BX79" i="15"/>
  <c r="BX78" i="15"/>
  <c r="D87" i="15" s="1"/>
  <c r="BW78" i="15"/>
  <c r="BV78" i="15"/>
  <c r="BU78" i="15"/>
  <c r="BT78" i="15"/>
  <c r="BS78" i="15"/>
  <c r="BR78" i="15"/>
  <c r="BQ78" i="15"/>
  <c r="BP78" i="15"/>
  <c r="BO78" i="15"/>
  <c r="BN78" i="15"/>
  <c r="BM78" i="15"/>
  <c r="BL78" i="15"/>
  <c r="BK78" i="15"/>
  <c r="BJ78" i="15"/>
  <c r="BI78" i="15"/>
  <c r="BH78" i="15"/>
  <c r="BG78" i="15"/>
  <c r="BF78" i="15"/>
  <c r="BE78" i="15"/>
  <c r="BD78" i="15"/>
  <c r="BC78" i="15"/>
  <c r="BB78" i="15"/>
  <c r="BA78" i="15"/>
  <c r="AZ78" i="15"/>
  <c r="AY78" i="15"/>
  <c r="AX78" i="15"/>
  <c r="AW78" i="15"/>
  <c r="AV78" i="15"/>
  <c r="AU78" i="15"/>
  <c r="AT78" i="15"/>
  <c r="AS78" i="15"/>
  <c r="AR78" i="15"/>
  <c r="AQ78" i="15"/>
  <c r="AP78" i="15"/>
  <c r="AO78" i="15"/>
  <c r="AN78" i="15"/>
  <c r="AM78" i="15"/>
  <c r="AL78" i="15"/>
  <c r="AK78" i="15"/>
  <c r="AJ78" i="15"/>
  <c r="AI78" i="15"/>
  <c r="AH78" i="15"/>
  <c r="AG78" i="15"/>
  <c r="AF78" i="15"/>
  <c r="AE78" i="15"/>
  <c r="AD78" i="15"/>
  <c r="AC78" i="15"/>
  <c r="AB78" i="15"/>
  <c r="AA78" i="15"/>
  <c r="Z78" i="15"/>
  <c r="Y78" i="15"/>
  <c r="X78" i="15"/>
  <c r="W78" i="15"/>
  <c r="V78" i="15"/>
  <c r="U78" i="15"/>
  <c r="T78" i="15"/>
  <c r="S78" i="15"/>
  <c r="R78" i="15"/>
  <c r="Q78" i="15"/>
  <c r="P78" i="15"/>
  <c r="O78" i="15"/>
  <c r="N78" i="15"/>
  <c r="M78" i="15"/>
  <c r="L78" i="15"/>
  <c r="K78" i="15"/>
  <c r="J78" i="15"/>
  <c r="I78" i="15"/>
  <c r="H78" i="15"/>
  <c r="G78" i="15"/>
  <c r="F78" i="15"/>
  <c r="E78" i="15"/>
  <c r="AI64" i="15"/>
  <c r="BX63" i="15"/>
  <c r="BX62" i="15"/>
  <c r="BW62" i="15"/>
  <c r="BV62" i="15"/>
  <c r="BU62" i="15"/>
  <c r="BT62" i="15"/>
  <c r="BS62" i="15"/>
  <c r="BR62" i="15"/>
  <c r="BQ62" i="15"/>
  <c r="BP62" i="15"/>
  <c r="BO62" i="15"/>
  <c r="BN62" i="15"/>
  <c r="BM62" i="15"/>
  <c r="BL62" i="15"/>
  <c r="BK62" i="15"/>
  <c r="BJ62" i="15"/>
  <c r="BI62" i="15"/>
  <c r="BH62" i="15"/>
  <c r="BG62" i="15"/>
  <c r="BF62" i="15"/>
  <c r="BE62" i="15"/>
  <c r="BD62" i="15"/>
  <c r="BC62" i="15"/>
  <c r="BB62" i="15"/>
  <c r="BA62" i="15"/>
  <c r="AZ62" i="15"/>
  <c r="AY62" i="15"/>
  <c r="AX62" i="15"/>
  <c r="AW62" i="15"/>
  <c r="AV62" i="15"/>
  <c r="AU62" i="15"/>
  <c r="AT62" i="15"/>
  <c r="AS62" i="15"/>
  <c r="AR62" i="15"/>
  <c r="AQ62" i="15"/>
  <c r="AP62" i="15"/>
  <c r="AO62" i="15"/>
  <c r="AN62" i="15"/>
  <c r="AM62" i="15"/>
  <c r="AL62" i="15"/>
  <c r="AK62" i="15"/>
  <c r="AJ62" i="15"/>
  <c r="N62" i="15"/>
  <c r="M62" i="15"/>
  <c r="L62" i="15"/>
  <c r="K62" i="15"/>
  <c r="J62" i="15"/>
  <c r="I62" i="15"/>
  <c r="H62" i="15"/>
  <c r="G62" i="15"/>
  <c r="F62" i="15"/>
  <c r="BX48" i="15"/>
  <c r="BX47" i="15"/>
  <c r="AI47" i="15"/>
  <c r="CC37" i="15"/>
  <c r="CB37" i="15"/>
  <c r="BZ37" i="15"/>
  <c r="CK34" i="15"/>
  <c r="CK33" i="15"/>
  <c r="CK32" i="15"/>
  <c r="CK31" i="15"/>
  <c r="BX30" i="15"/>
  <c r="BX76" i="15" s="1"/>
  <c r="BX81" i="15" s="1"/>
  <c r="BW30" i="15"/>
  <c r="BW76" i="15" s="1"/>
  <c r="BW81" i="15" s="1"/>
  <c r="BV30" i="15"/>
  <c r="BV76" i="15" s="1"/>
  <c r="BV81" i="15" s="1"/>
  <c r="BU30" i="15"/>
  <c r="BU76" i="15" s="1"/>
  <c r="BU81" i="15" s="1"/>
  <c r="BT30" i="15"/>
  <c r="BT76" i="15" s="1"/>
  <c r="BT81" i="15" s="1"/>
  <c r="BS30" i="15"/>
  <c r="BS76" i="15" s="1"/>
  <c r="BS81" i="15" s="1"/>
  <c r="BR30" i="15"/>
  <c r="BR76" i="15" s="1"/>
  <c r="BR81" i="15" s="1"/>
  <c r="BQ30" i="15"/>
  <c r="BQ76" i="15" s="1"/>
  <c r="BQ81" i="15" s="1"/>
  <c r="BP30" i="15"/>
  <c r="BP76" i="15" s="1"/>
  <c r="BP81" i="15" s="1"/>
  <c r="BO30" i="15"/>
  <c r="BO76" i="15" s="1"/>
  <c r="BO81" i="15" s="1"/>
  <c r="BN30" i="15"/>
  <c r="BN76" i="15" s="1"/>
  <c r="BN81" i="15" s="1"/>
  <c r="BM30" i="15"/>
  <c r="BM76" i="15" s="1"/>
  <c r="BM81" i="15" s="1"/>
  <c r="BL30" i="15"/>
  <c r="BL76" i="15" s="1"/>
  <c r="BL81" i="15" s="1"/>
  <c r="BK30" i="15"/>
  <c r="BK76" i="15" s="1"/>
  <c r="BK81" i="15" s="1"/>
  <c r="BJ30" i="15"/>
  <c r="BJ76" i="15" s="1"/>
  <c r="BJ81" i="15" s="1"/>
  <c r="BI30" i="15"/>
  <c r="BI76" i="15" s="1"/>
  <c r="BI81" i="15" s="1"/>
  <c r="BH30" i="15"/>
  <c r="BH76" i="15" s="1"/>
  <c r="BH81" i="15" s="1"/>
  <c r="BG30" i="15"/>
  <c r="BG76" i="15" s="1"/>
  <c r="BG81" i="15" s="1"/>
  <c r="BF30" i="15"/>
  <c r="BF76" i="15" s="1"/>
  <c r="BF81" i="15" s="1"/>
  <c r="BE30" i="15"/>
  <c r="BE76" i="15" s="1"/>
  <c r="BE81" i="15" s="1"/>
  <c r="BD30" i="15"/>
  <c r="BD76" i="15" s="1"/>
  <c r="BD81" i="15" s="1"/>
  <c r="BC30" i="15"/>
  <c r="BC76" i="15" s="1"/>
  <c r="BC81" i="15" s="1"/>
  <c r="BB30" i="15"/>
  <c r="BB76" i="15" s="1"/>
  <c r="BB81" i="15" s="1"/>
  <c r="BA30" i="15"/>
  <c r="BA76" i="15" s="1"/>
  <c r="BA81" i="15" s="1"/>
  <c r="AZ30" i="15"/>
  <c r="AZ76" i="15" s="1"/>
  <c r="AZ81" i="15" s="1"/>
  <c r="AY30" i="15"/>
  <c r="AY76" i="15" s="1"/>
  <c r="AY81" i="15" s="1"/>
  <c r="AX30" i="15"/>
  <c r="AX76" i="15" s="1"/>
  <c r="AX81" i="15" s="1"/>
  <c r="AW30" i="15"/>
  <c r="AW76" i="15" s="1"/>
  <c r="AW81" i="15" s="1"/>
  <c r="AV30" i="15"/>
  <c r="AV76" i="15" s="1"/>
  <c r="AV81" i="15" s="1"/>
  <c r="AU30" i="15"/>
  <c r="AU76" i="15" s="1"/>
  <c r="AU81" i="15" s="1"/>
  <c r="AT30" i="15"/>
  <c r="AT76" i="15" s="1"/>
  <c r="AT81" i="15" s="1"/>
  <c r="AS30" i="15"/>
  <c r="AS76" i="15" s="1"/>
  <c r="AS81" i="15" s="1"/>
  <c r="AR30" i="15"/>
  <c r="AR76" i="15" s="1"/>
  <c r="AR81" i="15" s="1"/>
  <c r="AQ30" i="15"/>
  <c r="AQ76" i="15" s="1"/>
  <c r="AQ81" i="15" s="1"/>
  <c r="AP30" i="15"/>
  <c r="AP76" i="15" s="1"/>
  <c r="AP81" i="15" s="1"/>
  <c r="AO30" i="15"/>
  <c r="AO76" i="15" s="1"/>
  <c r="AO81" i="15" s="1"/>
  <c r="AN30" i="15"/>
  <c r="AN76" i="15" s="1"/>
  <c r="AN81" i="15" s="1"/>
  <c r="AM30" i="15"/>
  <c r="AM76" i="15" s="1"/>
  <c r="AM81" i="15" s="1"/>
  <c r="AL30" i="15"/>
  <c r="AL76" i="15" s="1"/>
  <c r="AL81" i="15" s="1"/>
  <c r="AK30" i="15"/>
  <c r="AK76" i="15" s="1"/>
  <c r="AK81" i="15" s="1"/>
  <c r="AJ30" i="15"/>
  <c r="AJ76" i="15" s="1"/>
  <c r="AJ81" i="15" s="1"/>
  <c r="AI30" i="15"/>
  <c r="AI76" i="15" s="1"/>
  <c r="AI81" i="15" s="1"/>
  <c r="AH30" i="15"/>
  <c r="AH76" i="15" s="1"/>
  <c r="AH81" i="15" s="1"/>
  <c r="AG30" i="15"/>
  <c r="AG76" i="15" s="1"/>
  <c r="AG81" i="15" s="1"/>
  <c r="AF30" i="15"/>
  <c r="AF76" i="15" s="1"/>
  <c r="AF81" i="15" s="1"/>
  <c r="AE30" i="15"/>
  <c r="AE76" i="15" s="1"/>
  <c r="AE81" i="15" s="1"/>
  <c r="AD30" i="15"/>
  <c r="AD76" i="15" s="1"/>
  <c r="AD81" i="15" s="1"/>
  <c r="AC30" i="15"/>
  <c r="AC76" i="15" s="1"/>
  <c r="AC81" i="15" s="1"/>
  <c r="AB30" i="15"/>
  <c r="AB76" i="15" s="1"/>
  <c r="AB81" i="15" s="1"/>
  <c r="AA30" i="15"/>
  <c r="AA76" i="15" s="1"/>
  <c r="AA81" i="15" s="1"/>
  <c r="Z30" i="15"/>
  <c r="Z76" i="15" s="1"/>
  <c r="Z81" i="15" s="1"/>
  <c r="Y30" i="15"/>
  <c r="Y76" i="15" s="1"/>
  <c r="Y81" i="15" s="1"/>
  <c r="X30" i="15"/>
  <c r="X76" i="15" s="1"/>
  <c r="X81" i="15" s="1"/>
  <c r="W30" i="15"/>
  <c r="W76" i="15" s="1"/>
  <c r="W81" i="15" s="1"/>
  <c r="V30" i="15"/>
  <c r="V76" i="15" s="1"/>
  <c r="V81" i="15" s="1"/>
  <c r="U30" i="15"/>
  <c r="U76" i="15" s="1"/>
  <c r="U81" i="15" s="1"/>
  <c r="T30" i="15"/>
  <c r="T76" i="15" s="1"/>
  <c r="T81" i="15" s="1"/>
  <c r="S30" i="15"/>
  <c r="S76" i="15" s="1"/>
  <c r="S81" i="15" s="1"/>
  <c r="R30" i="15"/>
  <c r="R76" i="15" s="1"/>
  <c r="R81" i="15" s="1"/>
  <c r="Q30" i="15"/>
  <c r="Q76" i="15" s="1"/>
  <c r="Q81" i="15" s="1"/>
  <c r="P30" i="15"/>
  <c r="P76" i="15" s="1"/>
  <c r="P81" i="15" s="1"/>
  <c r="O30" i="15"/>
  <c r="O76" i="15" s="1"/>
  <c r="O81" i="15" s="1"/>
  <c r="N30" i="15"/>
  <c r="N76" i="15" s="1"/>
  <c r="N81" i="15" s="1"/>
  <c r="M30" i="15"/>
  <c r="M76" i="15" s="1"/>
  <c r="M81" i="15" s="1"/>
  <c r="L30" i="15"/>
  <c r="L76" i="15" s="1"/>
  <c r="L81" i="15" s="1"/>
  <c r="K30" i="15"/>
  <c r="K76" i="15" s="1"/>
  <c r="K81" i="15" s="1"/>
  <c r="J30" i="15"/>
  <c r="J76" i="15" s="1"/>
  <c r="J81" i="15" s="1"/>
  <c r="I30" i="15"/>
  <c r="I76" i="15" s="1"/>
  <c r="I81" i="15" s="1"/>
  <c r="H30" i="15"/>
  <c r="H76" i="15" s="1"/>
  <c r="H81" i="15" s="1"/>
  <c r="G30" i="15"/>
  <c r="G76" i="15" s="1"/>
  <c r="G81" i="15" s="1"/>
  <c r="F30" i="15"/>
  <c r="F76" i="15" s="1"/>
  <c r="F81" i="15" s="1"/>
  <c r="E30" i="15"/>
  <c r="BX29" i="15"/>
  <c r="BX60" i="15" s="1"/>
  <c r="BX65" i="15" s="1"/>
  <c r="BW29" i="15"/>
  <c r="BW60" i="15" s="1"/>
  <c r="BW65" i="15" s="1"/>
  <c r="BV29" i="15"/>
  <c r="BV60" i="15" s="1"/>
  <c r="BV65" i="15" s="1"/>
  <c r="BU29" i="15"/>
  <c r="BU60" i="15" s="1"/>
  <c r="BU65" i="15" s="1"/>
  <c r="BT29" i="15"/>
  <c r="BT60" i="15" s="1"/>
  <c r="BT65" i="15" s="1"/>
  <c r="BS29" i="15"/>
  <c r="BS60" i="15" s="1"/>
  <c r="BS65" i="15" s="1"/>
  <c r="BR29" i="15"/>
  <c r="BR60" i="15" s="1"/>
  <c r="BR65" i="15" s="1"/>
  <c r="BQ29" i="15"/>
  <c r="BQ60" i="15" s="1"/>
  <c r="BQ65" i="15" s="1"/>
  <c r="BP29" i="15"/>
  <c r="BP60" i="15" s="1"/>
  <c r="BP65" i="15" s="1"/>
  <c r="BO29" i="15"/>
  <c r="BO60" i="15" s="1"/>
  <c r="BO65" i="15" s="1"/>
  <c r="BN29" i="15"/>
  <c r="BN60" i="15" s="1"/>
  <c r="BN65" i="15" s="1"/>
  <c r="BM29" i="15"/>
  <c r="BM60" i="15" s="1"/>
  <c r="BM65" i="15" s="1"/>
  <c r="BL29" i="15"/>
  <c r="BL60" i="15" s="1"/>
  <c r="BL65" i="15" s="1"/>
  <c r="BK29" i="15"/>
  <c r="BK60" i="15" s="1"/>
  <c r="BK65" i="15" s="1"/>
  <c r="BJ29" i="15"/>
  <c r="BJ60" i="15" s="1"/>
  <c r="BJ65" i="15" s="1"/>
  <c r="BI29" i="15"/>
  <c r="BI60" i="15" s="1"/>
  <c r="BI65" i="15" s="1"/>
  <c r="BH29" i="15"/>
  <c r="BH60" i="15" s="1"/>
  <c r="BH65" i="15" s="1"/>
  <c r="BG29" i="15"/>
  <c r="BG60" i="15" s="1"/>
  <c r="BG65" i="15" s="1"/>
  <c r="BF29" i="15"/>
  <c r="BF60" i="15" s="1"/>
  <c r="BF65" i="15" s="1"/>
  <c r="BE29" i="15"/>
  <c r="BE60" i="15" s="1"/>
  <c r="BE65" i="15" s="1"/>
  <c r="BD29" i="15"/>
  <c r="BD60" i="15" s="1"/>
  <c r="BD65" i="15" s="1"/>
  <c r="BC29" i="15"/>
  <c r="BC60" i="15" s="1"/>
  <c r="BC65" i="15" s="1"/>
  <c r="BB29" i="15"/>
  <c r="BB60" i="15" s="1"/>
  <c r="BB65" i="15" s="1"/>
  <c r="BA29" i="15"/>
  <c r="BA60" i="15" s="1"/>
  <c r="BA65" i="15" s="1"/>
  <c r="AZ29" i="15"/>
  <c r="AZ60" i="15" s="1"/>
  <c r="AZ65" i="15" s="1"/>
  <c r="AY29" i="15"/>
  <c r="AY60" i="15" s="1"/>
  <c r="AY65" i="15" s="1"/>
  <c r="AX29" i="15"/>
  <c r="AX60" i="15" s="1"/>
  <c r="AX65" i="15" s="1"/>
  <c r="AW29" i="15"/>
  <c r="AW60" i="15" s="1"/>
  <c r="AW65" i="15" s="1"/>
  <c r="AV29" i="15"/>
  <c r="AV60" i="15" s="1"/>
  <c r="AV65" i="15" s="1"/>
  <c r="AU29" i="15"/>
  <c r="AU60" i="15" s="1"/>
  <c r="AU65" i="15" s="1"/>
  <c r="AT29" i="15"/>
  <c r="AT60" i="15" s="1"/>
  <c r="AT65" i="15" s="1"/>
  <c r="AS29" i="15"/>
  <c r="AS60" i="15" s="1"/>
  <c r="AS65" i="15" s="1"/>
  <c r="AR29" i="15"/>
  <c r="AR60" i="15" s="1"/>
  <c r="AR65" i="15" s="1"/>
  <c r="AQ29" i="15"/>
  <c r="AQ60" i="15" s="1"/>
  <c r="AQ65" i="15" s="1"/>
  <c r="AP29" i="15"/>
  <c r="AP60" i="15" s="1"/>
  <c r="AP65" i="15" s="1"/>
  <c r="AO29" i="15"/>
  <c r="AO60" i="15" s="1"/>
  <c r="AO65" i="15" s="1"/>
  <c r="AN29" i="15"/>
  <c r="AN60" i="15" s="1"/>
  <c r="AN65" i="15" s="1"/>
  <c r="AM29" i="15"/>
  <c r="AM60" i="15" s="1"/>
  <c r="AM65" i="15" s="1"/>
  <c r="AL29" i="15"/>
  <c r="AL60" i="15" s="1"/>
  <c r="AL65" i="15" s="1"/>
  <c r="AK29" i="15"/>
  <c r="AK60" i="15" s="1"/>
  <c r="AK65" i="15" s="1"/>
  <c r="AJ29" i="15"/>
  <c r="AJ60" i="15" s="1"/>
  <c r="AJ65" i="15" s="1"/>
  <c r="AI29" i="15"/>
  <c r="AI60" i="15" s="1"/>
  <c r="AH29" i="15"/>
  <c r="AH60" i="15" s="1"/>
  <c r="AG29" i="15"/>
  <c r="AG60" i="15" s="1"/>
  <c r="AF29" i="15"/>
  <c r="AF60" i="15" s="1"/>
  <c r="AE29" i="15"/>
  <c r="AE60" i="15" s="1"/>
  <c r="AD29" i="15"/>
  <c r="AD60" i="15" s="1"/>
  <c r="AC29" i="15"/>
  <c r="AC60" i="15" s="1"/>
  <c r="AB29" i="15"/>
  <c r="AB60" i="15" s="1"/>
  <c r="AA29" i="15"/>
  <c r="AA60" i="15" s="1"/>
  <c r="Z29" i="15"/>
  <c r="Z60" i="15" s="1"/>
  <c r="Y29" i="15"/>
  <c r="Y60" i="15" s="1"/>
  <c r="X29" i="15"/>
  <c r="X60" i="15" s="1"/>
  <c r="W29" i="15"/>
  <c r="W60" i="15" s="1"/>
  <c r="V29" i="15"/>
  <c r="V60" i="15" s="1"/>
  <c r="U29" i="15"/>
  <c r="U60" i="15" s="1"/>
  <c r="T29" i="15"/>
  <c r="T60" i="15" s="1"/>
  <c r="S29" i="15"/>
  <c r="S60" i="15" s="1"/>
  <c r="R29" i="15"/>
  <c r="R60" i="15" s="1"/>
  <c r="Q29" i="15"/>
  <c r="Q60" i="15" s="1"/>
  <c r="P29" i="15"/>
  <c r="P60" i="15" s="1"/>
  <c r="O29" i="15"/>
  <c r="O60" i="15" s="1"/>
  <c r="N29" i="15"/>
  <c r="N60" i="15" s="1"/>
  <c r="N65" i="15" s="1"/>
  <c r="M29" i="15"/>
  <c r="M60" i="15" s="1"/>
  <c r="M65" i="15" s="1"/>
  <c r="L29" i="15"/>
  <c r="L60" i="15" s="1"/>
  <c r="L65" i="15" s="1"/>
  <c r="D67" i="15" s="1"/>
  <c r="K29" i="15"/>
  <c r="K60" i="15" s="1"/>
  <c r="K65" i="15" s="1"/>
  <c r="J29" i="15"/>
  <c r="J60" i="15" s="1"/>
  <c r="J65" i="15" s="1"/>
  <c r="I29" i="15"/>
  <c r="I60" i="15" s="1"/>
  <c r="I65" i="15" s="1"/>
  <c r="H29" i="15"/>
  <c r="H60" i="15" s="1"/>
  <c r="H65" i="15" s="1"/>
  <c r="G29" i="15"/>
  <c r="G60" i="15" s="1"/>
  <c r="G65" i="15" s="1"/>
  <c r="F29" i="15"/>
  <c r="F60" i="15" s="1"/>
  <c r="F65" i="15" s="1"/>
  <c r="E29" i="15"/>
  <c r="BY28" i="15"/>
  <c r="C28" i="15"/>
  <c r="BY27" i="15"/>
  <c r="C27" i="15"/>
  <c r="BY26" i="15"/>
  <c r="BY37" i="15" s="1"/>
  <c r="C26" i="15"/>
  <c r="BX25" i="15"/>
  <c r="BW25" i="15"/>
  <c r="BV25" i="15"/>
  <c r="BU25" i="15"/>
  <c r="BT25" i="15"/>
  <c r="BS25" i="15"/>
  <c r="BR25" i="15"/>
  <c r="BQ25" i="15"/>
  <c r="BP25" i="15"/>
  <c r="BO25" i="15"/>
  <c r="BN25" i="15"/>
  <c r="BM25" i="15"/>
  <c r="BL25" i="15"/>
  <c r="BK25" i="15"/>
  <c r="BJ25" i="15"/>
  <c r="BI25" i="15"/>
  <c r="BH25" i="15"/>
  <c r="BG25" i="15"/>
  <c r="BF25" i="15"/>
  <c r="BE25" i="15"/>
  <c r="BD25" i="15"/>
  <c r="BC25" i="15"/>
  <c r="BB25" i="15"/>
  <c r="BA25" i="15"/>
  <c r="AZ25" i="15"/>
  <c r="AY25" i="15"/>
  <c r="AX25" i="15"/>
  <c r="AW25" i="15"/>
  <c r="AV25" i="15"/>
  <c r="AU25" i="15"/>
  <c r="AT25" i="15"/>
  <c r="AS25" i="15"/>
  <c r="AR25" i="15"/>
  <c r="AQ25" i="15"/>
  <c r="AP25" i="15"/>
  <c r="AO25" i="15"/>
  <c r="AN25" i="15"/>
  <c r="AM25" i="15"/>
  <c r="AL25" i="15"/>
  <c r="AK25" i="15"/>
  <c r="AJ25" i="15"/>
  <c r="AH25" i="15"/>
  <c r="AG25" i="15"/>
  <c r="AF25" i="15"/>
  <c r="AE25" i="15"/>
  <c r="AD25" i="15"/>
  <c r="AC25" i="15"/>
  <c r="AB25" i="15"/>
  <c r="AA25" i="15"/>
  <c r="Z25" i="15"/>
  <c r="Y25" i="15"/>
  <c r="X25" i="15"/>
  <c r="W25" i="15"/>
  <c r="V25" i="15"/>
  <c r="T25" i="15"/>
  <c r="T44" i="15" s="1"/>
  <c r="S25" i="15"/>
  <c r="S44" i="15" s="1"/>
  <c r="R25" i="15"/>
  <c r="R44" i="15" s="1"/>
  <c r="Q25" i="15"/>
  <c r="Q44" i="15" s="1"/>
  <c r="P25" i="15"/>
  <c r="P44" i="15" s="1"/>
  <c r="O25" i="15"/>
  <c r="O44" i="15" s="1"/>
  <c r="N25" i="15"/>
  <c r="N44" i="15" s="1"/>
  <c r="M25" i="15"/>
  <c r="M44" i="15" s="1"/>
  <c r="L25" i="15"/>
  <c r="L44" i="15" s="1"/>
  <c r="K25" i="15"/>
  <c r="K44" i="15" s="1"/>
  <c r="J25" i="15"/>
  <c r="J44" i="15" s="1"/>
  <c r="I25" i="15"/>
  <c r="I44" i="15" s="1"/>
  <c r="H25" i="15"/>
  <c r="H44" i="15" s="1"/>
  <c r="G25" i="15"/>
  <c r="G44" i="15" s="1"/>
  <c r="F25" i="15"/>
  <c r="F44" i="15" s="1"/>
  <c r="E25" i="15"/>
  <c r="BX24" i="15"/>
  <c r="BW24" i="15"/>
  <c r="BV24" i="15"/>
  <c r="BU24" i="15"/>
  <c r="BT24" i="15"/>
  <c r="BS24" i="15"/>
  <c r="BR24" i="15"/>
  <c r="BQ24" i="15"/>
  <c r="BP24" i="15"/>
  <c r="BO24" i="15"/>
  <c r="BN24" i="15"/>
  <c r="BM24" i="15"/>
  <c r="BL24" i="15"/>
  <c r="BK24" i="15"/>
  <c r="BJ24" i="15"/>
  <c r="BI24" i="15"/>
  <c r="BH24" i="15"/>
  <c r="BG24" i="15"/>
  <c r="BF24" i="15"/>
  <c r="BE24" i="15"/>
  <c r="BD24" i="15"/>
  <c r="BC24" i="15"/>
  <c r="BB24" i="15"/>
  <c r="BA24" i="15"/>
  <c r="AZ24" i="15"/>
  <c r="AY24" i="15"/>
  <c r="AX24" i="15"/>
  <c r="AW24" i="15"/>
  <c r="AV24" i="15"/>
  <c r="AU24" i="15"/>
  <c r="AT24" i="15"/>
  <c r="AS24" i="15"/>
  <c r="AR24" i="15"/>
  <c r="AQ24" i="15"/>
  <c r="AP24" i="15"/>
  <c r="AO24" i="15"/>
  <c r="AN24" i="15"/>
  <c r="AM24" i="15"/>
  <c r="AL24" i="15"/>
  <c r="AK24" i="15"/>
  <c r="AJ24" i="15"/>
  <c r="AH24" i="15"/>
  <c r="AG24" i="15"/>
  <c r="AF24" i="15"/>
  <c r="AE24" i="15"/>
  <c r="AD24" i="15"/>
  <c r="AC24" i="15"/>
  <c r="AB24" i="15"/>
  <c r="AA24" i="15"/>
  <c r="Z24" i="15"/>
  <c r="Y24" i="15"/>
  <c r="X24" i="15"/>
  <c r="W24" i="15"/>
  <c r="V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CK21" i="15"/>
  <c r="CK20" i="15"/>
  <c r="CK19" i="15"/>
  <c r="CK18" i="15"/>
  <c r="CK17" i="15"/>
  <c r="BX14" i="15"/>
  <c r="BW14" i="15"/>
  <c r="BV14" i="15"/>
  <c r="BU14" i="15"/>
  <c r="BT14" i="15"/>
  <c r="BS14" i="15"/>
  <c r="BR14" i="15"/>
  <c r="BQ14" i="15"/>
  <c r="BP14" i="15"/>
  <c r="BO14" i="15"/>
  <c r="BN14" i="15"/>
  <c r="BM14" i="15"/>
  <c r="BL14" i="15"/>
  <c r="BK14" i="15"/>
  <c r="BJ14" i="15"/>
  <c r="BI14" i="15"/>
  <c r="BH14" i="15"/>
  <c r="BG14" i="15"/>
  <c r="BF14" i="15"/>
  <c r="BE14" i="15"/>
  <c r="BD14" i="15"/>
  <c r="BC14" i="15"/>
  <c r="BB14" i="15"/>
  <c r="BA14" i="15"/>
  <c r="AZ14" i="15"/>
  <c r="AY14" i="15"/>
  <c r="AX14" i="15"/>
  <c r="AW14" i="15"/>
  <c r="AV14" i="15"/>
  <c r="AU14" i="15"/>
  <c r="AT14" i="15"/>
  <c r="AS14" i="15"/>
  <c r="AR14" i="15"/>
  <c r="AQ14" i="15"/>
  <c r="AP14" i="15"/>
  <c r="AO14" i="15"/>
  <c r="AN14" i="15"/>
  <c r="AM14" i="15"/>
  <c r="AL14" i="15"/>
  <c r="AK14" i="15"/>
  <c r="AJ14" i="15"/>
  <c r="AH14" i="15"/>
  <c r="AG14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CK11" i="15"/>
  <c r="CL11" i="15" s="1"/>
  <c r="CK10" i="15"/>
  <c r="CL10" i="15" s="1"/>
  <c r="CK9" i="15"/>
  <c r="CL9" i="15" s="1"/>
  <c r="CK8" i="15"/>
  <c r="CL8" i="15" s="1"/>
  <c r="E7" i="15"/>
  <c r="BX6" i="15"/>
  <c r="BX46" i="15" s="1"/>
  <c r="BW6" i="15"/>
  <c r="BW46" i="15" s="1"/>
  <c r="BV6" i="15"/>
  <c r="BV46" i="15" s="1"/>
  <c r="BU6" i="15"/>
  <c r="BU46" i="15" s="1"/>
  <c r="BT6" i="15"/>
  <c r="BT46" i="15" s="1"/>
  <c r="BS6" i="15"/>
  <c r="BS46" i="15" s="1"/>
  <c r="BR6" i="15"/>
  <c r="BR46" i="15" s="1"/>
  <c r="BQ6" i="15"/>
  <c r="BQ46" i="15" s="1"/>
  <c r="BP6" i="15"/>
  <c r="BP46" i="15" s="1"/>
  <c r="BO6" i="15"/>
  <c r="BO46" i="15" s="1"/>
  <c r="BN6" i="15"/>
  <c r="BN46" i="15" s="1"/>
  <c r="BM6" i="15"/>
  <c r="BM46" i="15" s="1"/>
  <c r="BL6" i="15"/>
  <c r="BL46" i="15" s="1"/>
  <c r="BK6" i="15"/>
  <c r="BK46" i="15" s="1"/>
  <c r="BJ6" i="15"/>
  <c r="BJ46" i="15" s="1"/>
  <c r="BI6" i="15"/>
  <c r="BI46" i="15" s="1"/>
  <c r="BH6" i="15"/>
  <c r="BH46" i="15" s="1"/>
  <c r="BG6" i="15"/>
  <c r="BG46" i="15" s="1"/>
  <c r="BF6" i="15"/>
  <c r="BF46" i="15" s="1"/>
  <c r="BE6" i="15"/>
  <c r="BE46" i="15" s="1"/>
  <c r="BD6" i="15"/>
  <c r="BD46" i="15" s="1"/>
  <c r="BC6" i="15"/>
  <c r="BC46" i="15" s="1"/>
  <c r="BB6" i="15"/>
  <c r="BB46" i="15" s="1"/>
  <c r="BA6" i="15"/>
  <c r="BA46" i="15" s="1"/>
  <c r="AZ6" i="15"/>
  <c r="AZ46" i="15" s="1"/>
  <c r="AY6" i="15"/>
  <c r="AY46" i="15" s="1"/>
  <c r="AX6" i="15"/>
  <c r="AX46" i="15" s="1"/>
  <c r="AW6" i="15"/>
  <c r="AW46" i="15" s="1"/>
  <c r="AV6" i="15"/>
  <c r="AV46" i="15" s="1"/>
  <c r="AU6" i="15"/>
  <c r="AU46" i="15" s="1"/>
  <c r="AT6" i="15"/>
  <c r="AT46" i="15" s="1"/>
  <c r="AS6" i="15"/>
  <c r="AS46" i="15" s="1"/>
  <c r="AR6" i="15"/>
  <c r="AR46" i="15" s="1"/>
  <c r="AQ6" i="15"/>
  <c r="AQ46" i="15" s="1"/>
  <c r="AP6" i="15"/>
  <c r="AP46" i="15" s="1"/>
  <c r="AO6" i="15"/>
  <c r="AO46" i="15" s="1"/>
  <c r="AN6" i="15"/>
  <c r="AN46" i="15" s="1"/>
  <c r="AM6" i="15"/>
  <c r="AM46" i="15" s="1"/>
  <c r="AL6" i="15"/>
  <c r="AL46" i="15" s="1"/>
  <c r="AK6" i="15"/>
  <c r="AK46" i="15" s="1"/>
  <c r="AJ6" i="15"/>
  <c r="AJ46" i="15" s="1"/>
  <c r="N6" i="15"/>
  <c r="N46" i="15" s="1"/>
  <c r="M6" i="15"/>
  <c r="M46" i="15" s="1"/>
  <c r="L6" i="15"/>
  <c r="L46" i="15" s="1"/>
  <c r="K6" i="15"/>
  <c r="K46" i="15" s="1"/>
  <c r="J6" i="15"/>
  <c r="J46" i="15" s="1"/>
  <c r="I6" i="15"/>
  <c r="I46" i="15" s="1"/>
  <c r="H6" i="15"/>
  <c r="H46" i="15" s="1"/>
  <c r="G6" i="15"/>
  <c r="G46" i="15" s="1"/>
  <c r="F6" i="15"/>
  <c r="F46" i="15" s="1"/>
  <c r="E6" i="15"/>
  <c r="BX4" i="15"/>
  <c r="BW4" i="15"/>
  <c r="BV4" i="15"/>
  <c r="BU4" i="15"/>
  <c r="BT4" i="15"/>
  <c r="BS4" i="15"/>
  <c r="BR4" i="15"/>
  <c r="BQ4" i="15"/>
  <c r="BP4" i="15"/>
  <c r="BO4" i="15"/>
  <c r="BN4" i="15"/>
  <c r="BM4" i="15"/>
  <c r="BL4" i="15"/>
  <c r="BK4" i="15"/>
  <c r="BJ4" i="15"/>
  <c r="BI4" i="15"/>
  <c r="BH4" i="15"/>
  <c r="BG4" i="15"/>
  <c r="BF4" i="15"/>
  <c r="BE4" i="15"/>
  <c r="BD4" i="15"/>
  <c r="BC4" i="15"/>
  <c r="BB4" i="15"/>
  <c r="BA4" i="15"/>
  <c r="AZ4" i="15"/>
  <c r="AY4" i="15"/>
  <c r="AX4" i="15"/>
  <c r="AW4" i="15"/>
  <c r="AV4" i="15"/>
  <c r="AU4" i="15"/>
  <c r="AT4" i="15"/>
  <c r="AS4" i="15"/>
  <c r="AR4" i="15"/>
  <c r="AQ4" i="15"/>
  <c r="AP4" i="15"/>
  <c r="AO4" i="15"/>
  <c r="AN4" i="15"/>
  <c r="AM4" i="15"/>
  <c r="AL4" i="15"/>
  <c r="AK4" i="15"/>
  <c r="AJ4" i="15"/>
  <c r="AI4" i="15"/>
  <c r="N4" i="15"/>
  <c r="M4" i="15"/>
  <c r="L4" i="15"/>
  <c r="K4" i="15"/>
  <c r="J4" i="15"/>
  <c r="I4" i="15"/>
  <c r="H4" i="15"/>
  <c r="G4" i="15"/>
  <c r="F4" i="15"/>
  <c r="E4" i="15"/>
  <c r="C4" i="15"/>
  <c r="CJ3" i="15"/>
  <c r="CJ37" i="15" s="1"/>
  <c r="CI3" i="15"/>
  <c r="CI37" i="15" s="1"/>
  <c r="CH3" i="15"/>
  <c r="CH37" i="15" s="1"/>
  <c r="CG3" i="15"/>
  <c r="CG37" i="15" s="1"/>
  <c r="CF3" i="15"/>
  <c r="CF37" i="15" s="1"/>
  <c r="CE3" i="15"/>
  <c r="CE37" i="15" s="1"/>
  <c r="CD3" i="15"/>
  <c r="CD37" i="15" s="1"/>
  <c r="CA3" i="15"/>
  <c r="CA37" i="15" s="1"/>
  <c r="BX3" i="15"/>
  <c r="BW3" i="15"/>
  <c r="BV3" i="15"/>
  <c r="BU3" i="15"/>
  <c r="BT3" i="15"/>
  <c r="BS3" i="15"/>
  <c r="BR3" i="15"/>
  <c r="BQ3" i="15"/>
  <c r="BP3" i="15"/>
  <c r="BO3" i="15"/>
  <c r="BN3" i="15"/>
  <c r="BM3" i="15"/>
  <c r="BL3" i="15"/>
  <c r="BK3" i="15"/>
  <c r="BJ3" i="15"/>
  <c r="BI3" i="15"/>
  <c r="BH3" i="15"/>
  <c r="BG3" i="15"/>
  <c r="BF3" i="15"/>
  <c r="BE3" i="15"/>
  <c r="BD3" i="15"/>
  <c r="BC3" i="15"/>
  <c r="BB3" i="15"/>
  <c r="BA3" i="15"/>
  <c r="AZ3" i="15"/>
  <c r="AY3" i="15"/>
  <c r="AX3" i="15"/>
  <c r="AW3" i="15"/>
  <c r="AV3" i="15"/>
  <c r="AU3" i="15"/>
  <c r="AT3" i="15"/>
  <c r="AS3" i="15"/>
  <c r="AR3" i="15"/>
  <c r="AQ3" i="15"/>
  <c r="AP3" i="15"/>
  <c r="AO3" i="15"/>
  <c r="AN3" i="15"/>
  <c r="AM3" i="15"/>
  <c r="AL3" i="15"/>
  <c r="AK3" i="15"/>
  <c r="AJ3" i="15"/>
  <c r="AI3" i="15"/>
  <c r="AH3" i="15"/>
  <c r="AG3" i="15"/>
  <c r="AF3" i="15"/>
  <c r="AE3" i="15"/>
  <c r="AD3" i="15"/>
  <c r="AC3" i="15"/>
  <c r="AB3" i="15"/>
  <c r="AA3" i="15"/>
  <c r="Z3" i="15"/>
  <c r="Y3" i="15"/>
  <c r="X3" i="15"/>
  <c r="W3" i="15"/>
  <c r="V3" i="15"/>
  <c r="T3" i="15"/>
  <c r="R3" i="15"/>
  <c r="Q3" i="15"/>
  <c r="P3" i="15"/>
  <c r="O3" i="15"/>
  <c r="N3" i="15"/>
  <c r="N37" i="15" s="1"/>
  <c r="M3" i="15"/>
  <c r="M37" i="15" s="1"/>
  <c r="J3" i="15"/>
  <c r="J37" i="15" s="1"/>
  <c r="I3" i="15"/>
  <c r="I37" i="15" s="1"/>
  <c r="H3" i="15"/>
  <c r="H37" i="15" s="1"/>
  <c r="G3" i="15"/>
  <c r="G37" i="15" s="1"/>
  <c r="F3" i="15"/>
  <c r="F37" i="15" s="1"/>
  <c r="E3" i="15"/>
  <c r="Q1" i="15"/>
  <c r="AC1" i="15" s="1"/>
  <c r="AO1" i="15" s="1"/>
  <c r="BA1" i="15" s="1"/>
  <c r="BM1" i="15" s="1"/>
  <c r="BY1" i="15" s="1"/>
  <c r="F23" i="14"/>
  <c r="A23" i="14"/>
  <c r="F22" i="14"/>
  <c r="D22" i="14"/>
  <c r="C22" i="14"/>
  <c r="B22" i="14"/>
  <c r="F21" i="14"/>
  <c r="D21" i="14"/>
  <c r="C21" i="14"/>
  <c r="B21" i="14"/>
  <c r="F20" i="14"/>
  <c r="D20" i="14"/>
  <c r="C20" i="14"/>
  <c r="B20" i="14"/>
  <c r="A20" i="14"/>
  <c r="J19" i="14"/>
  <c r="F19" i="14"/>
  <c r="D19" i="14"/>
  <c r="C19" i="14"/>
  <c r="B19" i="14"/>
  <c r="A19" i="14"/>
  <c r="F18" i="14"/>
  <c r="D18" i="14"/>
  <c r="C18" i="14"/>
  <c r="B18" i="14"/>
  <c r="A18" i="14"/>
  <c r="F17" i="14"/>
  <c r="D17" i="14"/>
  <c r="C17" i="14"/>
  <c r="B17" i="14"/>
  <c r="A17" i="14"/>
  <c r="J16" i="14"/>
  <c r="F16" i="14"/>
  <c r="D16" i="14"/>
  <c r="C16" i="14"/>
  <c r="B16" i="14"/>
  <c r="A16" i="14"/>
  <c r="J15" i="14"/>
  <c r="F15" i="14"/>
  <c r="D15" i="14"/>
  <c r="C15" i="14"/>
  <c r="B15" i="14"/>
  <c r="A15" i="14"/>
  <c r="F14" i="14"/>
  <c r="D14" i="14"/>
  <c r="C14" i="14"/>
  <c r="B14" i="14"/>
  <c r="A14" i="14"/>
  <c r="J13" i="14"/>
  <c r="F13" i="14"/>
  <c r="E13" i="14"/>
  <c r="D13" i="14"/>
  <c r="C13" i="14"/>
  <c r="B13" i="14"/>
  <c r="A13" i="14"/>
  <c r="J12" i="14"/>
  <c r="F12" i="14"/>
  <c r="D12" i="14"/>
  <c r="C12" i="14"/>
  <c r="B12" i="14"/>
  <c r="A12" i="14"/>
  <c r="J11" i="14"/>
  <c r="F11" i="14"/>
  <c r="D11" i="14"/>
  <c r="C11" i="14"/>
  <c r="B11" i="14"/>
  <c r="A11" i="14"/>
  <c r="J10" i="14"/>
  <c r="F10" i="14"/>
  <c r="E10" i="14"/>
  <c r="D10" i="14"/>
  <c r="C10" i="14"/>
  <c r="B10" i="14"/>
  <c r="A10" i="14"/>
  <c r="K9" i="14"/>
  <c r="J9" i="14"/>
  <c r="F9" i="14"/>
  <c r="D9" i="14"/>
  <c r="C9" i="14"/>
  <c r="B9" i="14"/>
  <c r="A9" i="14"/>
  <c r="K8" i="14"/>
  <c r="J8" i="14"/>
  <c r="F8" i="14"/>
  <c r="E8" i="14"/>
  <c r="D8" i="14"/>
  <c r="C8" i="14"/>
  <c r="B8" i="14"/>
  <c r="A8" i="14"/>
  <c r="J7" i="14"/>
  <c r="F7" i="14"/>
  <c r="D7" i="14"/>
  <c r="C7" i="14"/>
  <c r="B7" i="14"/>
  <c r="A7" i="14"/>
  <c r="J6" i="14"/>
  <c r="F6" i="14"/>
  <c r="E6" i="14"/>
  <c r="D6" i="14"/>
  <c r="C6" i="14"/>
  <c r="B6" i="14"/>
  <c r="A6" i="14"/>
  <c r="J5" i="14"/>
  <c r="F5" i="14"/>
  <c r="E5" i="14"/>
  <c r="D5" i="14"/>
  <c r="C5" i="14"/>
  <c r="B5" i="14"/>
  <c r="A5" i="14"/>
  <c r="J4" i="14"/>
  <c r="F4" i="14"/>
  <c r="E4" i="14"/>
  <c r="D4" i="14"/>
  <c r="C4" i="14"/>
  <c r="B4" i="14"/>
  <c r="A4" i="14"/>
  <c r="J3" i="14"/>
  <c r="F3" i="14"/>
  <c r="E3" i="14"/>
  <c r="D3" i="14"/>
  <c r="C3" i="14"/>
  <c r="B3" i="14"/>
  <c r="A3" i="14"/>
  <c r="J2" i="14"/>
  <c r="F2" i="14"/>
  <c r="E2" i="14"/>
  <c r="D2" i="14"/>
  <c r="C2" i="14"/>
  <c r="B2" i="14"/>
  <c r="A2" i="14"/>
  <c r="K1" i="14"/>
  <c r="J1" i="14"/>
  <c r="I1" i="14"/>
  <c r="H1" i="14"/>
  <c r="G1" i="14"/>
  <c r="F1" i="14"/>
  <c r="E1" i="14"/>
  <c r="D1" i="14"/>
  <c r="C1" i="14"/>
  <c r="B1" i="14"/>
  <c r="D161" i="12"/>
  <c r="BX154" i="12"/>
  <c r="BW154" i="12"/>
  <c r="BV154" i="12"/>
  <c r="BU154" i="12"/>
  <c r="BT154" i="12"/>
  <c r="BS154" i="12"/>
  <c r="BR154" i="12"/>
  <c r="BQ154" i="12"/>
  <c r="BP154" i="12"/>
  <c r="BO154" i="12"/>
  <c r="BN154" i="12"/>
  <c r="BM154" i="12"/>
  <c r="BL154" i="12"/>
  <c r="BK154" i="12"/>
  <c r="BJ154" i="12"/>
  <c r="BI154" i="12"/>
  <c r="BH154" i="12"/>
  <c r="BG154" i="12"/>
  <c r="BF154" i="12"/>
  <c r="BE154" i="12"/>
  <c r="BD154" i="12"/>
  <c r="BC154" i="12"/>
  <c r="BB154" i="12"/>
  <c r="BA154" i="12"/>
  <c r="AZ154" i="12"/>
  <c r="AY154" i="12"/>
  <c r="AX154" i="12"/>
  <c r="AW154" i="12"/>
  <c r="AV154" i="12"/>
  <c r="AU154" i="12"/>
  <c r="AT154" i="12"/>
  <c r="AS154" i="12"/>
  <c r="AR154" i="12"/>
  <c r="AQ154" i="12"/>
  <c r="AP154" i="12"/>
  <c r="AO154" i="12"/>
  <c r="AN154" i="12"/>
  <c r="AM154" i="12"/>
  <c r="AL154" i="12"/>
  <c r="AK154" i="12"/>
  <c r="AJ154" i="12"/>
  <c r="AI154" i="12"/>
  <c r="AH154" i="12"/>
  <c r="AG154" i="12"/>
  <c r="AF154" i="12"/>
  <c r="AE154" i="12"/>
  <c r="AD154" i="12"/>
  <c r="AC154" i="12"/>
  <c r="AB154" i="12"/>
  <c r="AA154" i="12"/>
  <c r="Z154" i="12"/>
  <c r="Y154" i="12"/>
  <c r="X154" i="12"/>
  <c r="W154" i="12"/>
  <c r="V154" i="12"/>
  <c r="U154" i="12"/>
  <c r="T154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BX152" i="12"/>
  <c r="BW152" i="12"/>
  <c r="BW157" i="12" s="1"/>
  <c r="BV152" i="12"/>
  <c r="BV157" i="12" s="1"/>
  <c r="BU152" i="12"/>
  <c r="BU157" i="12" s="1"/>
  <c r="BT152" i="12"/>
  <c r="BT157" i="12" s="1"/>
  <c r="BS152" i="12"/>
  <c r="BS157" i="12" s="1"/>
  <c r="BR152" i="12"/>
  <c r="BR157" i="12" s="1"/>
  <c r="BQ152" i="12"/>
  <c r="BQ157" i="12" s="1"/>
  <c r="BP152" i="12"/>
  <c r="BP157" i="12" s="1"/>
  <c r="BO152" i="12"/>
  <c r="BO157" i="12" s="1"/>
  <c r="BN152" i="12"/>
  <c r="BN157" i="12" s="1"/>
  <c r="BM152" i="12"/>
  <c r="BM157" i="12" s="1"/>
  <c r="BL152" i="12"/>
  <c r="BL157" i="12" s="1"/>
  <c r="BK152" i="12"/>
  <c r="BK157" i="12" s="1"/>
  <c r="BJ152" i="12"/>
  <c r="BJ157" i="12" s="1"/>
  <c r="BI152" i="12"/>
  <c r="BI157" i="12" s="1"/>
  <c r="BH152" i="12"/>
  <c r="BH157" i="12" s="1"/>
  <c r="BG152" i="12"/>
  <c r="BG157" i="12" s="1"/>
  <c r="BF152" i="12"/>
  <c r="BF157" i="12" s="1"/>
  <c r="BE152" i="12"/>
  <c r="BE157" i="12" s="1"/>
  <c r="BD152" i="12"/>
  <c r="BD157" i="12" s="1"/>
  <c r="BC152" i="12"/>
  <c r="BC157" i="12" s="1"/>
  <c r="BB152" i="12"/>
  <c r="BB157" i="12" s="1"/>
  <c r="BA152" i="12"/>
  <c r="BA157" i="12" s="1"/>
  <c r="AZ152" i="12"/>
  <c r="AZ157" i="12" s="1"/>
  <c r="AY152" i="12"/>
  <c r="AY157" i="12" s="1"/>
  <c r="AX152" i="12"/>
  <c r="AX157" i="12" s="1"/>
  <c r="AW152" i="12"/>
  <c r="AW157" i="12" s="1"/>
  <c r="AV152" i="12"/>
  <c r="AV157" i="12" s="1"/>
  <c r="AU152" i="12"/>
  <c r="AU157" i="12" s="1"/>
  <c r="AT152" i="12"/>
  <c r="AT157" i="12" s="1"/>
  <c r="AS152" i="12"/>
  <c r="AS157" i="12" s="1"/>
  <c r="AR152" i="12"/>
  <c r="AR157" i="12" s="1"/>
  <c r="AQ152" i="12"/>
  <c r="AQ157" i="12" s="1"/>
  <c r="AP152" i="12"/>
  <c r="AP157" i="12" s="1"/>
  <c r="AO152" i="12"/>
  <c r="AO157" i="12" s="1"/>
  <c r="AN152" i="12"/>
  <c r="AN157" i="12" s="1"/>
  <c r="AM152" i="12"/>
  <c r="AM157" i="12" s="1"/>
  <c r="AL152" i="12"/>
  <c r="AL157" i="12" s="1"/>
  <c r="AK152" i="12"/>
  <c r="AK157" i="12" s="1"/>
  <c r="AJ152" i="12"/>
  <c r="AJ157" i="12" s="1"/>
  <c r="AI152" i="12"/>
  <c r="AI157" i="12" s="1"/>
  <c r="AH152" i="12"/>
  <c r="AH157" i="12" s="1"/>
  <c r="AG152" i="12"/>
  <c r="AG157" i="12" s="1"/>
  <c r="AF152" i="12"/>
  <c r="AF157" i="12" s="1"/>
  <c r="AE152" i="12"/>
  <c r="AE157" i="12" s="1"/>
  <c r="AD152" i="12"/>
  <c r="AD157" i="12" s="1"/>
  <c r="AC152" i="12"/>
  <c r="AC157" i="12" s="1"/>
  <c r="AB152" i="12"/>
  <c r="AB157" i="12" s="1"/>
  <c r="AA152" i="12"/>
  <c r="AA157" i="12" s="1"/>
  <c r="Z152" i="12"/>
  <c r="Z157" i="12" s="1"/>
  <c r="Y152" i="12"/>
  <c r="Y157" i="12" s="1"/>
  <c r="X152" i="12"/>
  <c r="X157" i="12" s="1"/>
  <c r="W152" i="12"/>
  <c r="W157" i="12" s="1"/>
  <c r="V152" i="12"/>
  <c r="V157" i="12" s="1"/>
  <c r="U152" i="12"/>
  <c r="U157" i="12" s="1"/>
  <c r="T152" i="12"/>
  <c r="T157" i="12" s="1"/>
  <c r="S152" i="12"/>
  <c r="S157" i="12" s="1"/>
  <c r="R152" i="12"/>
  <c r="R157" i="12" s="1"/>
  <c r="Q152" i="12"/>
  <c r="Q157" i="12" s="1"/>
  <c r="P152" i="12"/>
  <c r="P157" i="12" s="1"/>
  <c r="O152" i="12"/>
  <c r="O157" i="12" s="1"/>
  <c r="N152" i="12"/>
  <c r="N157" i="12" s="1"/>
  <c r="M152" i="12"/>
  <c r="M157" i="12" s="1"/>
  <c r="L152" i="12"/>
  <c r="L157" i="12" s="1"/>
  <c r="K152" i="12"/>
  <c r="K157" i="12" s="1"/>
  <c r="J152" i="12"/>
  <c r="J157" i="12" s="1"/>
  <c r="I152" i="12"/>
  <c r="I157" i="12" s="1"/>
  <c r="H152" i="12"/>
  <c r="H157" i="12" s="1"/>
  <c r="G152" i="12"/>
  <c r="G157" i="12" s="1"/>
  <c r="F152" i="12"/>
  <c r="F157" i="12" s="1"/>
  <c r="E152" i="12"/>
  <c r="E157" i="12" s="1"/>
  <c r="D144" i="12"/>
  <c r="BX137" i="12"/>
  <c r="BW137" i="12"/>
  <c r="BV137" i="12"/>
  <c r="BU137" i="12"/>
  <c r="BT137" i="12"/>
  <c r="BS137" i="12"/>
  <c r="BR137" i="12"/>
  <c r="BQ137" i="12"/>
  <c r="BP137" i="12"/>
  <c r="BO137" i="12"/>
  <c r="BN137" i="12"/>
  <c r="BM137" i="12"/>
  <c r="BL137" i="12"/>
  <c r="BK137" i="12"/>
  <c r="BJ137" i="12"/>
  <c r="BI137" i="12"/>
  <c r="BH137" i="12"/>
  <c r="BG137" i="12"/>
  <c r="BF137" i="12"/>
  <c r="BE137" i="12"/>
  <c r="BD137" i="12"/>
  <c r="BC137" i="12"/>
  <c r="BB137" i="12"/>
  <c r="BA137" i="12"/>
  <c r="AZ137" i="12"/>
  <c r="AY137" i="12"/>
  <c r="AX137" i="12"/>
  <c r="AW137" i="12"/>
  <c r="AV137" i="12"/>
  <c r="AU137" i="12"/>
  <c r="AT137" i="12"/>
  <c r="AS137" i="12"/>
  <c r="AR137" i="12"/>
  <c r="AQ137" i="12"/>
  <c r="AP137" i="12"/>
  <c r="AO137" i="12"/>
  <c r="AN137" i="12"/>
  <c r="AM137" i="12"/>
  <c r="AL137" i="12"/>
  <c r="AK137" i="12"/>
  <c r="AJ137" i="12"/>
  <c r="AI137" i="12"/>
  <c r="AH137" i="12"/>
  <c r="AG137" i="12"/>
  <c r="AF137" i="12"/>
  <c r="AE137" i="12"/>
  <c r="AD137" i="12"/>
  <c r="AC137" i="12"/>
  <c r="AB137" i="12"/>
  <c r="AA137" i="12"/>
  <c r="Z137" i="12"/>
  <c r="Y137" i="12"/>
  <c r="X137" i="12"/>
  <c r="W137" i="12"/>
  <c r="V137" i="12"/>
  <c r="U137" i="12"/>
  <c r="T137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BX135" i="12"/>
  <c r="BW135" i="12"/>
  <c r="BW140" i="12" s="1"/>
  <c r="BV135" i="12"/>
  <c r="BV140" i="12" s="1"/>
  <c r="BU135" i="12"/>
  <c r="BU140" i="12" s="1"/>
  <c r="BT135" i="12"/>
  <c r="BT140" i="12" s="1"/>
  <c r="BS135" i="12"/>
  <c r="BS140" i="12" s="1"/>
  <c r="BR135" i="12"/>
  <c r="BR140" i="12" s="1"/>
  <c r="BQ135" i="12"/>
  <c r="BQ140" i="12" s="1"/>
  <c r="BP135" i="12"/>
  <c r="BP140" i="12" s="1"/>
  <c r="BO135" i="12"/>
  <c r="BO140" i="12" s="1"/>
  <c r="BN135" i="12"/>
  <c r="BN140" i="12" s="1"/>
  <c r="BM135" i="12"/>
  <c r="BM140" i="12" s="1"/>
  <c r="BL135" i="12"/>
  <c r="BL140" i="12" s="1"/>
  <c r="BK135" i="12"/>
  <c r="BK140" i="12" s="1"/>
  <c r="BJ135" i="12"/>
  <c r="BJ140" i="12" s="1"/>
  <c r="BI135" i="12"/>
  <c r="BI140" i="12" s="1"/>
  <c r="BH135" i="12"/>
  <c r="BH140" i="12" s="1"/>
  <c r="BG135" i="12"/>
  <c r="BG140" i="12" s="1"/>
  <c r="BF135" i="12"/>
  <c r="BF140" i="12" s="1"/>
  <c r="BE135" i="12"/>
  <c r="BE140" i="12" s="1"/>
  <c r="BD135" i="12"/>
  <c r="BD140" i="12" s="1"/>
  <c r="BC135" i="12"/>
  <c r="BC140" i="12" s="1"/>
  <c r="BB135" i="12"/>
  <c r="BB140" i="12" s="1"/>
  <c r="BA135" i="12"/>
  <c r="BA140" i="12" s="1"/>
  <c r="AZ135" i="12"/>
  <c r="AZ140" i="12" s="1"/>
  <c r="AY135" i="12"/>
  <c r="AY140" i="12" s="1"/>
  <c r="AX135" i="12"/>
  <c r="AX140" i="12" s="1"/>
  <c r="AW135" i="12"/>
  <c r="AW140" i="12" s="1"/>
  <c r="AV135" i="12"/>
  <c r="AV140" i="12" s="1"/>
  <c r="AU135" i="12"/>
  <c r="AU140" i="12" s="1"/>
  <c r="AT135" i="12"/>
  <c r="AT140" i="12" s="1"/>
  <c r="AS135" i="12"/>
  <c r="AS140" i="12" s="1"/>
  <c r="AR135" i="12"/>
  <c r="AR140" i="12" s="1"/>
  <c r="AQ135" i="12"/>
  <c r="AQ140" i="12" s="1"/>
  <c r="AP135" i="12"/>
  <c r="AP140" i="12" s="1"/>
  <c r="AO135" i="12"/>
  <c r="AO140" i="12" s="1"/>
  <c r="AN135" i="12"/>
  <c r="AN140" i="12" s="1"/>
  <c r="AM135" i="12"/>
  <c r="AM140" i="12" s="1"/>
  <c r="AL135" i="12"/>
  <c r="AL140" i="12" s="1"/>
  <c r="AK135" i="12"/>
  <c r="AK140" i="12" s="1"/>
  <c r="AJ135" i="12"/>
  <c r="AJ140" i="12" s="1"/>
  <c r="AI135" i="12"/>
  <c r="AI140" i="12" s="1"/>
  <c r="AH135" i="12"/>
  <c r="AH140" i="12" s="1"/>
  <c r="AG135" i="12"/>
  <c r="AG140" i="12" s="1"/>
  <c r="AF135" i="12"/>
  <c r="AF140" i="12" s="1"/>
  <c r="AE135" i="12"/>
  <c r="AE140" i="12" s="1"/>
  <c r="AD135" i="12"/>
  <c r="AD140" i="12" s="1"/>
  <c r="AC135" i="12"/>
  <c r="AC140" i="12" s="1"/>
  <c r="AB135" i="12"/>
  <c r="AB140" i="12" s="1"/>
  <c r="AA135" i="12"/>
  <c r="AA140" i="12" s="1"/>
  <c r="Z135" i="12"/>
  <c r="Z140" i="12" s="1"/>
  <c r="Y135" i="12"/>
  <c r="Y140" i="12" s="1"/>
  <c r="X135" i="12"/>
  <c r="X140" i="12" s="1"/>
  <c r="W135" i="12"/>
  <c r="W140" i="12" s="1"/>
  <c r="V135" i="12"/>
  <c r="V140" i="12" s="1"/>
  <c r="U135" i="12"/>
  <c r="U140" i="12" s="1"/>
  <c r="T135" i="12"/>
  <c r="T140" i="12" s="1"/>
  <c r="S135" i="12"/>
  <c r="S140" i="12" s="1"/>
  <c r="R135" i="12"/>
  <c r="R140" i="12" s="1"/>
  <c r="Q135" i="12"/>
  <c r="Q140" i="12" s="1"/>
  <c r="P135" i="12"/>
  <c r="P140" i="12" s="1"/>
  <c r="O135" i="12"/>
  <c r="O140" i="12" s="1"/>
  <c r="N135" i="12"/>
  <c r="N140" i="12" s="1"/>
  <c r="M135" i="12"/>
  <c r="M140" i="12" s="1"/>
  <c r="L135" i="12"/>
  <c r="L140" i="12" s="1"/>
  <c r="K135" i="12"/>
  <c r="K140" i="12" s="1"/>
  <c r="J135" i="12"/>
  <c r="J140" i="12" s="1"/>
  <c r="I135" i="12"/>
  <c r="I140" i="12" s="1"/>
  <c r="H135" i="12"/>
  <c r="H140" i="12" s="1"/>
  <c r="G135" i="12"/>
  <c r="G140" i="12" s="1"/>
  <c r="F135" i="12"/>
  <c r="F140" i="12" s="1"/>
  <c r="E135" i="12"/>
  <c r="E140" i="12" s="1"/>
  <c r="D117" i="12"/>
  <c r="BX115" i="12"/>
  <c r="BW115" i="12"/>
  <c r="BV115" i="12"/>
  <c r="BU115" i="12"/>
  <c r="BT115" i="12"/>
  <c r="BS115" i="12"/>
  <c r="BR115" i="12"/>
  <c r="BQ115" i="12"/>
  <c r="BP115" i="12"/>
  <c r="BO115" i="12"/>
  <c r="BN115" i="12"/>
  <c r="BM115" i="12"/>
  <c r="BL115" i="12"/>
  <c r="BK115" i="12"/>
  <c r="BJ115" i="12"/>
  <c r="BI115" i="12"/>
  <c r="BH115" i="12"/>
  <c r="BG115" i="12"/>
  <c r="BF115" i="12"/>
  <c r="BE115" i="12"/>
  <c r="BD115" i="12"/>
  <c r="BC115" i="12"/>
  <c r="BB115" i="12"/>
  <c r="BA115" i="12"/>
  <c r="AZ115" i="12"/>
  <c r="AY115" i="12"/>
  <c r="AX115" i="12"/>
  <c r="AW115" i="12"/>
  <c r="AV115" i="12"/>
  <c r="AU115" i="12"/>
  <c r="AT115" i="12"/>
  <c r="AS115" i="12"/>
  <c r="AR115" i="12"/>
  <c r="AQ115" i="12"/>
  <c r="AP115" i="12"/>
  <c r="AN115" i="12"/>
  <c r="AM115" i="12"/>
  <c r="AL115" i="12"/>
  <c r="AK115" i="12"/>
  <c r="AJ115" i="12"/>
  <c r="AI115" i="12"/>
  <c r="AH115" i="12"/>
  <c r="AG115" i="12"/>
  <c r="AF115" i="12"/>
  <c r="AE115" i="12"/>
  <c r="AD115" i="12"/>
  <c r="AC115" i="12"/>
  <c r="AB115" i="12"/>
  <c r="AA115" i="12"/>
  <c r="Z115" i="12"/>
  <c r="Y115" i="12"/>
  <c r="X115" i="12"/>
  <c r="W115" i="12"/>
  <c r="V115" i="12"/>
  <c r="U115" i="12"/>
  <c r="T115" i="12"/>
  <c r="S115" i="12"/>
  <c r="R115" i="12"/>
  <c r="Q115" i="12"/>
  <c r="P115" i="12"/>
  <c r="O115" i="12"/>
  <c r="N115" i="12"/>
  <c r="M115" i="12"/>
  <c r="L115" i="12"/>
  <c r="K115" i="12"/>
  <c r="J115" i="12"/>
  <c r="I115" i="12"/>
  <c r="H115" i="12"/>
  <c r="G115" i="12"/>
  <c r="F115" i="12"/>
  <c r="E115" i="12"/>
  <c r="BX113" i="12"/>
  <c r="BW113" i="12"/>
  <c r="BW118" i="12" s="1"/>
  <c r="BV113" i="12"/>
  <c r="BV118" i="12" s="1"/>
  <c r="BU113" i="12"/>
  <c r="BU118" i="12" s="1"/>
  <c r="BT113" i="12"/>
  <c r="BT118" i="12" s="1"/>
  <c r="BS113" i="12"/>
  <c r="BS118" i="12" s="1"/>
  <c r="BR113" i="12"/>
  <c r="BR118" i="12" s="1"/>
  <c r="BQ113" i="12"/>
  <c r="BQ118" i="12" s="1"/>
  <c r="BP113" i="12"/>
  <c r="BP118" i="12" s="1"/>
  <c r="BO113" i="12"/>
  <c r="BO118" i="12" s="1"/>
  <c r="BN113" i="12"/>
  <c r="BN118" i="12" s="1"/>
  <c r="BM113" i="12"/>
  <c r="BM118" i="12" s="1"/>
  <c r="BL113" i="12"/>
  <c r="BL118" i="12" s="1"/>
  <c r="BK113" i="12"/>
  <c r="BK118" i="12" s="1"/>
  <c r="BJ113" i="12"/>
  <c r="BJ118" i="12" s="1"/>
  <c r="BI113" i="12"/>
  <c r="BI118" i="12" s="1"/>
  <c r="BH113" i="12"/>
  <c r="BH118" i="12" s="1"/>
  <c r="BG113" i="12"/>
  <c r="BG118" i="12" s="1"/>
  <c r="BF113" i="12"/>
  <c r="BF118" i="12" s="1"/>
  <c r="BE113" i="12"/>
  <c r="BE118" i="12" s="1"/>
  <c r="BD113" i="12"/>
  <c r="BD118" i="12" s="1"/>
  <c r="BC113" i="12"/>
  <c r="BC118" i="12" s="1"/>
  <c r="BB113" i="12"/>
  <c r="BB118" i="12" s="1"/>
  <c r="BA113" i="12"/>
  <c r="BA118" i="12" s="1"/>
  <c r="AZ113" i="12"/>
  <c r="AZ118" i="12" s="1"/>
  <c r="AY113" i="12"/>
  <c r="AY118" i="12" s="1"/>
  <c r="AX113" i="12"/>
  <c r="AX118" i="12" s="1"/>
  <c r="AW113" i="12"/>
  <c r="AW118" i="12" s="1"/>
  <c r="AV113" i="12"/>
  <c r="AV118" i="12" s="1"/>
  <c r="AU113" i="12"/>
  <c r="AU118" i="12" s="1"/>
  <c r="AT113" i="12"/>
  <c r="AT118" i="12" s="1"/>
  <c r="AS113" i="12"/>
  <c r="AS118" i="12" s="1"/>
  <c r="AR113" i="12"/>
  <c r="AR118" i="12" s="1"/>
  <c r="AQ113" i="12"/>
  <c r="AQ118" i="12" s="1"/>
  <c r="AP113" i="12"/>
  <c r="AP118" i="12" s="1"/>
  <c r="AN113" i="12"/>
  <c r="AN118" i="12" s="1"/>
  <c r="AM113" i="12"/>
  <c r="AM118" i="12" s="1"/>
  <c r="AA113" i="12"/>
  <c r="AA118" i="12" s="1"/>
  <c r="Z113" i="12"/>
  <c r="Z118" i="12" s="1"/>
  <c r="Y113" i="12"/>
  <c r="Y118" i="12" s="1"/>
  <c r="X113" i="12"/>
  <c r="X118" i="12" s="1"/>
  <c r="W113" i="12"/>
  <c r="W118" i="12" s="1"/>
  <c r="T113" i="12"/>
  <c r="T118" i="12" s="1"/>
  <c r="S113" i="12"/>
  <c r="S118" i="12" s="1"/>
  <c r="P113" i="12"/>
  <c r="P118" i="12" s="1"/>
  <c r="O113" i="12"/>
  <c r="O118" i="12" s="1"/>
  <c r="N113" i="12"/>
  <c r="N118" i="12" s="1"/>
  <c r="M113" i="12"/>
  <c r="M118" i="12" s="1"/>
  <c r="L113" i="12"/>
  <c r="L118" i="12" s="1"/>
  <c r="K113" i="12"/>
  <c r="K118" i="12" s="1"/>
  <c r="J113" i="12"/>
  <c r="J118" i="12" s="1"/>
  <c r="I113" i="12"/>
  <c r="I118" i="12" s="1"/>
  <c r="H113" i="12"/>
  <c r="H118" i="12" s="1"/>
  <c r="G113" i="12"/>
  <c r="G118" i="12" s="1"/>
  <c r="F113" i="12"/>
  <c r="F118" i="12" s="1"/>
  <c r="E113" i="12"/>
  <c r="E118" i="12" s="1"/>
  <c r="E119" i="12" s="1"/>
  <c r="BX99" i="12"/>
  <c r="BW99" i="12"/>
  <c r="BV99" i="12"/>
  <c r="BU99" i="12"/>
  <c r="BT99" i="12"/>
  <c r="BS99" i="12"/>
  <c r="BR99" i="12"/>
  <c r="BQ99" i="12"/>
  <c r="BP99" i="12"/>
  <c r="BO99" i="12"/>
  <c r="BN99" i="12"/>
  <c r="BM99" i="12"/>
  <c r="BL99" i="12"/>
  <c r="BK99" i="12"/>
  <c r="BJ99" i="12"/>
  <c r="BI99" i="12"/>
  <c r="BH99" i="12"/>
  <c r="BG99" i="12"/>
  <c r="BF99" i="12"/>
  <c r="BE99" i="12"/>
  <c r="BD99" i="12"/>
  <c r="BC99" i="12"/>
  <c r="BB99" i="12"/>
  <c r="BA99" i="12"/>
  <c r="AZ99" i="12"/>
  <c r="AY99" i="12"/>
  <c r="AX99" i="12"/>
  <c r="AW99" i="12"/>
  <c r="AV99" i="12"/>
  <c r="AU99" i="12"/>
  <c r="AT99" i="12"/>
  <c r="AS99" i="12"/>
  <c r="AR99" i="12"/>
  <c r="AQ99" i="12"/>
  <c r="AP99" i="12"/>
  <c r="AN99" i="12"/>
  <c r="AM99" i="12"/>
  <c r="AL99" i="12"/>
  <c r="AK99" i="12"/>
  <c r="AJ99" i="12"/>
  <c r="AI99" i="12"/>
  <c r="AH99" i="12"/>
  <c r="AG99" i="12"/>
  <c r="AF99" i="12"/>
  <c r="AE99" i="12"/>
  <c r="AD99" i="12"/>
  <c r="AC99" i="12"/>
  <c r="AB99" i="12"/>
  <c r="AA99" i="12"/>
  <c r="Z99" i="12"/>
  <c r="Y99" i="12"/>
  <c r="X99" i="12"/>
  <c r="W99" i="12"/>
  <c r="V99" i="12"/>
  <c r="U99" i="12"/>
  <c r="T99" i="12"/>
  <c r="S99" i="12"/>
  <c r="R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BX97" i="12"/>
  <c r="BW97" i="12"/>
  <c r="BW103" i="12" s="1"/>
  <c r="BV97" i="12"/>
  <c r="BV103" i="12" s="1"/>
  <c r="BU97" i="12"/>
  <c r="BU103" i="12" s="1"/>
  <c r="BT97" i="12"/>
  <c r="BT103" i="12" s="1"/>
  <c r="BS97" i="12"/>
  <c r="BS103" i="12" s="1"/>
  <c r="BR97" i="12"/>
  <c r="BR103" i="12" s="1"/>
  <c r="BQ97" i="12"/>
  <c r="BQ103" i="12" s="1"/>
  <c r="BP97" i="12"/>
  <c r="BP103" i="12" s="1"/>
  <c r="BO97" i="12"/>
  <c r="BO103" i="12" s="1"/>
  <c r="BN97" i="12"/>
  <c r="BN103" i="12" s="1"/>
  <c r="BM97" i="12"/>
  <c r="BM103" i="12" s="1"/>
  <c r="BL97" i="12"/>
  <c r="BL103" i="12" s="1"/>
  <c r="BK97" i="12"/>
  <c r="BK103" i="12" s="1"/>
  <c r="BJ97" i="12"/>
  <c r="BJ103" i="12" s="1"/>
  <c r="BI97" i="12"/>
  <c r="BI103" i="12" s="1"/>
  <c r="BH97" i="12"/>
  <c r="BH103" i="12" s="1"/>
  <c r="BG97" i="12"/>
  <c r="BG103" i="12" s="1"/>
  <c r="BF97" i="12"/>
  <c r="BF103" i="12" s="1"/>
  <c r="BE97" i="12"/>
  <c r="BE103" i="12" s="1"/>
  <c r="BD97" i="12"/>
  <c r="BD103" i="12" s="1"/>
  <c r="BC97" i="12"/>
  <c r="BC103" i="12" s="1"/>
  <c r="BB97" i="12"/>
  <c r="BB103" i="12" s="1"/>
  <c r="BA97" i="12"/>
  <c r="BA103" i="12" s="1"/>
  <c r="AZ97" i="12"/>
  <c r="AZ103" i="12" s="1"/>
  <c r="AY97" i="12"/>
  <c r="AY103" i="12" s="1"/>
  <c r="AX97" i="12"/>
  <c r="AX103" i="12" s="1"/>
  <c r="AW97" i="12"/>
  <c r="AW103" i="12" s="1"/>
  <c r="AV97" i="12"/>
  <c r="AV103" i="12" s="1"/>
  <c r="AU97" i="12"/>
  <c r="AU103" i="12" s="1"/>
  <c r="AT97" i="12"/>
  <c r="AT103" i="12" s="1"/>
  <c r="AS97" i="12"/>
  <c r="AS103" i="12" s="1"/>
  <c r="AR97" i="12"/>
  <c r="AR103" i="12" s="1"/>
  <c r="AQ97" i="12"/>
  <c r="AQ103" i="12" s="1"/>
  <c r="AP97" i="12"/>
  <c r="AP103" i="12" s="1"/>
  <c r="AN97" i="12"/>
  <c r="AN103" i="12" s="1"/>
  <c r="AM97" i="12"/>
  <c r="AM103" i="12" s="1"/>
  <c r="AL97" i="12"/>
  <c r="AL103" i="12" s="1"/>
  <c r="AK97" i="12"/>
  <c r="AK103" i="12" s="1"/>
  <c r="AJ97" i="12"/>
  <c r="AJ103" i="12" s="1"/>
  <c r="AI97" i="12"/>
  <c r="AI103" i="12" s="1"/>
  <c r="AH97" i="12"/>
  <c r="AH103" i="12" s="1"/>
  <c r="AG97" i="12"/>
  <c r="AG103" i="12" s="1"/>
  <c r="AF97" i="12"/>
  <c r="AF103" i="12" s="1"/>
  <c r="AE97" i="12"/>
  <c r="AE103" i="12" s="1"/>
  <c r="AD97" i="12"/>
  <c r="AD103" i="12" s="1"/>
  <c r="AC97" i="12"/>
  <c r="AC103" i="12" s="1"/>
  <c r="AB97" i="12"/>
  <c r="AB103" i="12" s="1"/>
  <c r="AA97" i="12"/>
  <c r="AA103" i="12" s="1"/>
  <c r="Y97" i="12"/>
  <c r="Y103" i="12" s="1"/>
  <c r="X97" i="12"/>
  <c r="X103" i="12" s="1"/>
  <c r="W97" i="12"/>
  <c r="W103" i="12" s="1"/>
  <c r="V97" i="12"/>
  <c r="V103" i="12" s="1"/>
  <c r="T97" i="12"/>
  <c r="T103" i="12" s="1"/>
  <c r="S97" i="12"/>
  <c r="S103" i="12" s="1"/>
  <c r="R97" i="12"/>
  <c r="R103" i="12" s="1"/>
  <c r="P97" i="12"/>
  <c r="P103" i="12" s="1"/>
  <c r="N97" i="12"/>
  <c r="N103" i="12" s="1"/>
  <c r="M97" i="12"/>
  <c r="M103" i="12" s="1"/>
  <c r="J97" i="12"/>
  <c r="J103" i="12" s="1"/>
  <c r="I97" i="12"/>
  <c r="I103" i="12" s="1"/>
  <c r="H97" i="12"/>
  <c r="H103" i="12" s="1"/>
  <c r="G97" i="12"/>
  <c r="G103" i="12" s="1"/>
  <c r="F97" i="12"/>
  <c r="F103" i="12" s="1"/>
  <c r="E97" i="12"/>
  <c r="E103" i="12" s="1"/>
  <c r="BW89" i="12"/>
  <c r="BV89" i="12"/>
  <c r="BU89" i="12"/>
  <c r="BT89" i="12"/>
  <c r="BS89" i="12"/>
  <c r="BR89" i="12"/>
  <c r="BQ89" i="12"/>
  <c r="BP89" i="12"/>
  <c r="BO89" i="12"/>
  <c r="BN89" i="12"/>
  <c r="BM89" i="12"/>
  <c r="BL89" i="12"/>
  <c r="BK89" i="12"/>
  <c r="BJ89" i="12"/>
  <c r="BI89" i="12"/>
  <c r="BH89" i="12"/>
  <c r="BG89" i="12"/>
  <c r="BF89" i="12"/>
  <c r="BE89" i="12"/>
  <c r="BD89" i="12"/>
  <c r="BC89" i="12"/>
  <c r="BB89" i="12"/>
  <c r="BA89" i="12"/>
  <c r="AZ89" i="12"/>
  <c r="AY89" i="12"/>
  <c r="AX89" i="12"/>
  <c r="AW89" i="12"/>
  <c r="AV89" i="12"/>
  <c r="AU89" i="12"/>
  <c r="AT89" i="12"/>
  <c r="AS89" i="12"/>
  <c r="AR89" i="12"/>
  <c r="AQ89" i="12"/>
  <c r="AP89" i="12"/>
  <c r="AN89" i="12"/>
  <c r="AM89" i="12"/>
  <c r="AL89" i="12"/>
  <c r="AK89" i="12"/>
  <c r="AJ89" i="12"/>
  <c r="AA89" i="12"/>
  <c r="Y89" i="12"/>
  <c r="X89" i="12"/>
  <c r="W89" i="12"/>
  <c r="T89" i="12"/>
  <c r="S89" i="12"/>
  <c r="P89" i="12"/>
  <c r="N89" i="12"/>
  <c r="M89" i="12"/>
  <c r="J89" i="12"/>
  <c r="I89" i="12"/>
  <c r="H89" i="12"/>
  <c r="G89" i="12"/>
  <c r="F89" i="12"/>
  <c r="E89" i="12"/>
  <c r="BY79" i="12"/>
  <c r="R78" i="12"/>
  <c r="BY78" i="12" s="1"/>
  <c r="BY77" i="12"/>
  <c r="BY76" i="12"/>
  <c r="U74" i="12"/>
  <c r="Q74" i="12"/>
  <c r="BX73" i="12"/>
  <c r="BW73" i="12"/>
  <c r="BV73" i="12"/>
  <c r="BU73" i="12"/>
  <c r="BT73" i="12"/>
  <c r="BS73" i="12"/>
  <c r="BR73" i="12"/>
  <c r="BQ73" i="12"/>
  <c r="BP73" i="12"/>
  <c r="BO73" i="12"/>
  <c r="BN73" i="12"/>
  <c r="BM73" i="12"/>
  <c r="BL73" i="12"/>
  <c r="BK73" i="12"/>
  <c r="BJ73" i="12"/>
  <c r="BI73" i="12"/>
  <c r="BH73" i="12"/>
  <c r="BG73" i="12"/>
  <c r="BF73" i="12"/>
  <c r="BE73" i="12"/>
  <c r="BD73" i="12"/>
  <c r="BC73" i="12"/>
  <c r="BB73" i="12"/>
  <c r="BA73" i="12"/>
  <c r="AZ73" i="12"/>
  <c r="AY73" i="12"/>
  <c r="AX73" i="12"/>
  <c r="AW73" i="12"/>
  <c r="AV73" i="12"/>
  <c r="AU73" i="12"/>
  <c r="AT73" i="12"/>
  <c r="AS73" i="12"/>
  <c r="AR73" i="12"/>
  <c r="AQ73" i="12"/>
  <c r="AP73" i="12"/>
  <c r="AN73" i="12"/>
  <c r="AM73" i="12"/>
  <c r="AL73" i="12"/>
  <c r="AK73" i="12"/>
  <c r="AJ73" i="12"/>
  <c r="AI73" i="12"/>
  <c r="AH73" i="12"/>
  <c r="AG73" i="12"/>
  <c r="AF73" i="12"/>
  <c r="AE73" i="12"/>
  <c r="AD73" i="12"/>
  <c r="AC73" i="12"/>
  <c r="AB73" i="12"/>
  <c r="AA73" i="12"/>
  <c r="Z73" i="12"/>
  <c r="Y73" i="12"/>
  <c r="X73" i="12"/>
  <c r="W73" i="12"/>
  <c r="V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BY72" i="12"/>
  <c r="BY71" i="12"/>
  <c r="BY70" i="12" s="1"/>
  <c r="BX70" i="12"/>
  <c r="BW70" i="12"/>
  <c r="BV70" i="12"/>
  <c r="BU70" i="12"/>
  <c r="BT70" i="12"/>
  <c r="BS70" i="12"/>
  <c r="BR70" i="12"/>
  <c r="BQ70" i="12"/>
  <c r="BP70" i="12"/>
  <c r="BO70" i="12"/>
  <c r="BN70" i="12"/>
  <c r="BM70" i="12"/>
  <c r="BL70" i="12"/>
  <c r="BK70" i="12"/>
  <c r="BJ70" i="12"/>
  <c r="BI70" i="12"/>
  <c r="BH70" i="12"/>
  <c r="BG70" i="12"/>
  <c r="BF70" i="12"/>
  <c r="BE70" i="12"/>
  <c r="BD70" i="12"/>
  <c r="BC70" i="12"/>
  <c r="BB70" i="12"/>
  <c r="BA70" i="12"/>
  <c r="AZ70" i="12"/>
  <c r="AY70" i="12"/>
  <c r="AX70" i="12"/>
  <c r="AW70" i="12"/>
  <c r="AV70" i="12"/>
  <c r="AU70" i="12"/>
  <c r="AT70" i="12"/>
  <c r="AS70" i="12"/>
  <c r="AR70" i="12"/>
  <c r="AQ70" i="12"/>
  <c r="AP70" i="12"/>
  <c r="AO70" i="12"/>
  <c r="AN70" i="12"/>
  <c r="AM70" i="12"/>
  <c r="AL70" i="12"/>
  <c r="AK70" i="12"/>
  <c r="AJ70" i="12"/>
  <c r="AI70" i="12"/>
  <c r="AH70" i="12"/>
  <c r="AG70" i="12"/>
  <c r="AF70" i="12"/>
  <c r="AE70" i="12"/>
  <c r="AD70" i="12"/>
  <c r="AC70" i="12"/>
  <c r="AB70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BY68" i="12"/>
  <c r="BY67" i="12"/>
  <c r="BY66" i="12"/>
  <c r="BY65" i="12"/>
  <c r="BY64" i="12"/>
  <c r="BX62" i="12"/>
  <c r="BW62" i="12"/>
  <c r="BV62" i="12"/>
  <c r="BU62" i="12"/>
  <c r="BT62" i="12"/>
  <c r="BS62" i="12"/>
  <c r="BR62" i="12"/>
  <c r="BQ62" i="12"/>
  <c r="BP62" i="12"/>
  <c r="BO62" i="12"/>
  <c r="BN62" i="12"/>
  <c r="BM62" i="12"/>
  <c r="BL62" i="12"/>
  <c r="BK62" i="12"/>
  <c r="BJ62" i="12"/>
  <c r="BI62" i="12"/>
  <c r="BH62" i="12"/>
  <c r="BG62" i="12"/>
  <c r="BF62" i="12"/>
  <c r="BE62" i="12"/>
  <c r="BD62" i="12"/>
  <c r="BC62" i="12"/>
  <c r="BB62" i="12"/>
  <c r="BA62" i="12"/>
  <c r="AZ62" i="12"/>
  <c r="AY62" i="12"/>
  <c r="AX62" i="12"/>
  <c r="AW62" i="12"/>
  <c r="AV62" i="12"/>
  <c r="AU62" i="12"/>
  <c r="AT62" i="12"/>
  <c r="AS62" i="12"/>
  <c r="AR62" i="12"/>
  <c r="AQ62" i="12"/>
  <c r="AP62" i="12"/>
  <c r="AN62" i="12"/>
  <c r="AM62" i="12"/>
  <c r="AL62" i="12"/>
  <c r="AK62" i="12"/>
  <c r="AJ62" i="12"/>
  <c r="AI62" i="12"/>
  <c r="AH62" i="12"/>
  <c r="AG62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AO61" i="12"/>
  <c r="AN61" i="12"/>
  <c r="AM61" i="12"/>
  <c r="AL61" i="12"/>
  <c r="AK61" i="12"/>
  <c r="AJ61" i="12"/>
  <c r="AI61" i="12"/>
  <c r="BY61" i="12" s="1"/>
  <c r="BY60" i="12"/>
  <c r="D60" i="12"/>
  <c r="BY59" i="12"/>
  <c r="BY58" i="12"/>
  <c r="BY57" i="12"/>
  <c r="Q55" i="12"/>
  <c r="CC54" i="12"/>
  <c r="BX54" i="12"/>
  <c r="BW54" i="12"/>
  <c r="BV54" i="12"/>
  <c r="BU54" i="12"/>
  <c r="BT54" i="12"/>
  <c r="BS54" i="12"/>
  <c r="BR54" i="12"/>
  <c r="BQ54" i="12"/>
  <c r="BP54" i="12"/>
  <c r="BO54" i="12"/>
  <c r="BN54" i="12"/>
  <c r="BM54" i="12"/>
  <c r="BL54" i="12"/>
  <c r="BK54" i="12"/>
  <c r="BJ54" i="12"/>
  <c r="BI54" i="12"/>
  <c r="BH54" i="12"/>
  <c r="BG54" i="12"/>
  <c r="BF54" i="12"/>
  <c r="BE54" i="12"/>
  <c r="BD54" i="12"/>
  <c r="BC54" i="12"/>
  <c r="BB54" i="12"/>
  <c r="BA54" i="12"/>
  <c r="AZ54" i="12"/>
  <c r="AY54" i="12"/>
  <c r="AX54" i="12"/>
  <c r="AW54" i="12"/>
  <c r="AV54" i="12"/>
  <c r="AU54" i="12"/>
  <c r="AT54" i="12"/>
  <c r="AS54" i="12"/>
  <c r="AR54" i="12"/>
  <c r="AQ54" i="12"/>
  <c r="AP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BY53" i="12"/>
  <c r="AO52" i="12"/>
  <c r="AN52" i="12"/>
  <c r="AM52" i="12"/>
  <c r="AL52" i="12"/>
  <c r="AK52" i="12"/>
  <c r="AJ52" i="12"/>
  <c r="AI52" i="12"/>
  <c r="AH52" i="12"/>
  <c r="AG52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BY52" i="12" s="1"/>
  <c r="BY51" i="12"/>
  <c r="BY50" i="12"/>
  <c r="CC48" i="12"/>
  <c r="CC70" i="12" s="1"/>
  <c r="BX48" i="12"/>
  <c r="BW48" i="12"/>
  <c r="BV48" i="12"/>
  <c r="BU48" i="12"/>
  <c r="BT48" i="12"/>
  <c r="BS48" i="12"/>
  <c r="BR48" i="12"/>
  <c r="BQ48" i="12"/>
  <c r="BP48" i="12"/>
  <c r="BO48" i="12"/>
  <c r="BN48" i="12"/>
  <c r="BM48" i="12"/>
  <c r="BL48" i="12"/>
  <c r="BK48" i="12"/>
  <c r="BJ48" i="12"/>
  <c r="BI48" i="12"/>
  <c r="BH48" i="12"/>
  <c r="BG48" i="12"/>
  <c r="BF48" i="12"/>
  <c r="BE48" i="12"/>
  <c r="BD48" i="12"/>
  <c r="BC48" i="12"/>
  <c r="BB48" i="12"/>
  <c r="BA48" i="12"/>
  <c r="AZ48" i="12"/>
  <c r="AY48" i="12"/>
  <c r="AX48" i="12"/>
  <c r="AW48" i="12"/>
  <c r="AV48" i="12"/>
  <c r="AU48" i="12"/>
  <c r="AT48" i="12"/>
  <c r="AS48" i="12"/>
  <c r="AR48" i="12"/>
  <c r="AQ48" i="12"/>
  <c r="AP48" i="12"/>
  <c r="AO48" i="12"/>
  <c r="AN48" i="12"/>
  <c r="AM48" i="12"/>
  <c r="AL48" i="12"/>
  <c r="AK48" i="12"/>
  <c r="AJ48" i="12"/>
  <c r="AH48" i="12"/>
  <c r="AG48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AO46" i="12"/>
  <c r="AN46" i="12"/>
  <c r="AG46" i="12"/>
  <c r="V46" i="12"/>
  <c r="BY46" i="12" s="1"/>
  <c r="AO45" i="12"/>
  <c r="AN45" i="12"/>
  <c r="W45" i="12"/>
  <c r="U45" i="12"/>
  <c r="BY45" i="12" s="1"/>
  <c r="CD44" i="12"/>
  <c r="S44" i="12"/>
  <c r="R44" i="12"/>
  <c r="Q44" i="12"/>
  <c r="P44" i="12"/>
  <c r="O44" i="12"/>
  <c r="N44" i="12"/>
  <c r="L44" i="12"/>
  <c r="I44" i="12"/>
  <c r="CD43" i="12"/>
  <c r="CD69" i="12" s="1" a="1"/>
  <c r="CD69" i="12" s="1"/>
  <c r="S43" i="12"/>
  <c r="R43" i="12"/>
  <c r="P43" i="12"/>
  <c r="O43" i="12"/>
  <c r="L43" i="12"/>
  <c r="BY42" i="12"/>
  <c r="CD41" i="12"/>
  <c r="CD68" i="12" s="1"/>
  <c r="BY41" i="12"/>
  <c r="CD40" i="12"/>
  <c r="CD67" i="12" s="1"/>
  <c r="CA40" i="12"/>
  <c r="AN40" i="12"/>
  <c r="AM40" i="12"/>
  <c r="AL40" i="12"/>
  <c r="AK40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N40" i="12"/>
  <c r="BY40" i="12" s="1"/>
  <c r="CB40" i="12" s="1"/>
  <c r="CD39" i="12"/>
  <c r="CD66" i="12" s="1"/>
  <c r="AN39" i="12"/>
  <c r="AM39" i="12"/>
  <c r="AL39" i="12"/>
  <c r="AK39" i="12"/>
  <c r="AJ39" i="12"/>
  <c r="AI39" i="12"/>
  <c r="AH39" i="12"/>
  <c r="AG39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BY39" i="12" s="1"/>
  <c r="CA39" i="12" s="1"/>
  <c r="CA41" i="12" s="1"/>
  <c r="BX38" i="12"/>
  <c r="BW38" i="12"/>
  <c r="BV38" i="12"/>
  <c r="BU38" i="12"/>
  <c r="BT38" i="12"/>
  <c r="BS38" i="12"/>
  <c r="BR38" i="12"/>
  <c r="BQ38" i="12"/>
  <c r="BP38" i="12"/>
  <c r="BO38" i="12"/>
  <c r="BN38" i="12"/>
  <c r="BM38" i="12"/>
  <c r="BL38" i="12"/>
  <c r="BK38" i="12"/>
  <c r="BJ38" i="12"/>
  <c r="BI38" i="12"/>
  <c r="BH38" i="12"/>
  <c r="BG38" i="12"/>
  <c r="BF38" i="12"/>
  <c r="BE38" i="12"/>
  <c r="BD38" i="12"/>
  <c r="BC38" i="12"/>
  <c r="BB38" i="12"/>
  <c r="BA38" i="12"/>
  <c r="AZ38" i="12"/>
  <c r="AY38" i="12"/>
  <c r="AX38" i="12"/>
  <c r="AW38" i="12"/>
  <c r="AV38" i="12"/>
  <c r="AU38" i="12"/>
  <c r="AT38" i="12"/>
  <c r="AS38" i="12"/>
  <c r="AR38" i="12"/>
  <c r="AQ38" i="12"/>
  <c r="AP38" i="12"/>
  <c r="S38" i="12"/>
  <c r="R38" i="12"/>
  <c r="Q38" i="12"/>
  <c r="P38" i="12"/>
  <c r="O38" i="12"/>
  <c r="M38" i="12"/>
  <c r="L38" i="12"/>
  <c r="K38" i="12"/>
  <c r="J38" i="12"/>
  <c r="I38" i="12"/>
  <c r="H38" i="12"/>
  <c r="G38" i="12"/>
  <c r="F38" i="12"/>
  <c r="E38" i="12"/>
  <c r="CD37" i="12" a="1"/>
  <c r="CD37" i="12" s="1"/>
  <c r="CD64" i="12" s="1"/>
  <c r="BY37" i="12"/>
  <c r="CD36" i="12" a="1"/>
  <c r="CD36" i="12" s="1"/>
  <c r="CD63" i="12" s="1"/>
  <c r="BX35" i="12"/>
  <c r="BW35" i="12"/>
  <c r="BV35" i="12"/>
  <c r="BU35" i="12"/>
  <c r="BT35" i="12"/>
  <c r="BS35" i="12"/>
  <c r="BR35" i="12"/>
  <c r="BQ35" i="12"/>
  <c r="BP35" i="12"/>
  <c r="BO35" i="12"/>
  <c r="BN35" i="12"/>
  <c r="BM35" i="12"/>
  <c r="BL35" i="12"/>
  <c r="BK35" i="12"/>
  <c r="BJ35" i="12"/>
  <c r="BI35" i="12"/>
  <c r="BH35" i="12"/>
  <c r="BG35" i="12"/>
  <c r="BF35" i="12"/>
  <c r="BE35" i="12"/>
  <c r="BD35" i="12"/>
  <c r="BC35" i="12"/>
  <c r="BB35" i="12"/>
  <c r="BA35" i="12"/>
  <c r="AZ35" i="12"/>
  <c r="AY35" i="12"/>
  <c r="AX35" i="12"/>
  <c r="AW35" i="12"/>
  <c r="AV35" i="12"/>
  <c r="AU35" i="12"/>
  <c r="AT35" i="12"/>
  <c r="AS35" i="12"/>
  <c r="AR35" i="12"/>
  <c r="AQ35" i="12"/>
  <c r="AP35" i="12"/>
  <c r="AO35" i="12"/>
  <c r="AI35" i="12"/>
  <c r="AH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CD34" i="12"/>
  <c r="BY34" i="12"/>
  <c r="CD33" i="12"/>
  <c r="BY33" i="12"/>
  <c r="CD32" i="12"/>
  <c r="BY32" i="12"/>
  <c r="CD31" i="12"/>
  <c r="V31" i="12"/>
  <c r="U31" i="12"/>
  <c r="BY31" i="12" s="1"/>
  <c r="CD30" i="12"/>
  <c r="BY30" i="12"/>
  <c r="CD29" i="12"/>
  <c r="BY29" i="12"/>
  <c r="CD28" i="12"/>
  <c r="BX27" i="12"/>
  <c r="BW27" i="12"/>
  <c r="BV27" i="12"/>
  <c r="BU27" i="12"/>
  <c r="BT27" i="12"/>
  <c r="BS27" i="12"/>
  <c r="BR27" i="12"/>
  <c r="BQ27" i="12"/>
  <c r="BP27" i="12"/>
  <c r="BO27" i="12"/>
  <c r="BN27" i="12"/>
  <c r="BM27" i="12"/>
  <c r="BL27" i="12"/>
  <c r="BK27" i="12"/>
  <c r="BJ27" i="12"/>
  <c r="BI27" i="12"/>
  <c r="BH27" i="12"/>
  <c r="BG27" i="12"/>
  <c r="BF27" i="12"/>
  <c r="BE27" i="12"/>
  <c r="BD27" i="12"/>
  <c r="BC27" i="12"/>
  <c r="BB27" i="12"/>
  <c r="BA27" i="12"/>
  <c r="AZ27" i="12"/>
  <c r="AY27" i="12"/>
  <c r="AX27" i="12"/>
  <c r="AW27" i="12"/>
  <c r="AV27" i="12"/>
  <c r="AU27" i="12"/>
  <c r="AT27" i="12"/>
  <c r="AS27" i="12"/>
  <c r="AR27" i="12"/>
  <c r="AQ27" i="12"/>
  <c r="AP27" i="12"/>
  <c r="AO27" i="12"/>
  <c r="AN27" i="12"/>
  <c r="AM27" i="12"/>
  <c r="AL27" i="12"/>
  <c r="AK27" i="12"/>
  <c r="AJ27" i="12"/>
  <c r="AI27" i="12"/>
  <c r="Y27" i="12"/>
  <c r="X27" i="12"/>
  <c r="W27" i="12"/>
  <c r="V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CD26" i="12"/>
  <c r="CD25" i="12"/>
  <c r="Y25" i="12"/>
  <c r="X25" i="12"/>
  <c r="W25" i="12"/>
  <c r="V25" i="12"/>
  <c r="U25" i="12"/>
  <c r="T25" i="12"/>
  <c r="BY25" i="12" s="1"/>
  <c r="BX24" i="12"/>
  <c r="BW24" i="12"/>
  <c r="BV24" i="12"/>
  <c r="BU24" i="12"/>
  <c r="BT24" i="12"/>
  <c r="BS24" i="12"/>
  <c r="BR24" i="12"/>
  <c r="BQ24" i="12"/>
  <c r="BP24" i="12"/>
  <c r="BO24" i="12"/>
  <c r="BN24" i="12"/>
  <c r="BM24" i="12"/>
  <c r="BL24" i="12"/>
  <c r="BK24" i="12"/>
  <c r="BJ24" i="12"/>
  <c r="BI24" i="12"/>
  <c r="BH24" i="12"/>
  <c r="BG24" i="12"/>
  <c r="BF24" i="12"/>
  <c r="BE24" i="12"/>
  <c r="BD24" i="12"/>
  <c r="BC24" i="12"/>
  <c r="BB24" i="12"/>
  <c r="BA24" i="12"/>
  <c r="AZ24" i="12"/>
  <c r="AY24" i="12"/>
  <c r="AX24" i="12"/>
  <c r="AW24" i="12"/>
  <c r="AV24" i="12"/>
  <c r="AU24" i="12"/>
  <c r="AT24" i="12"/>
  <c r="AS24" i="12"/>
  <c r="AR24" i="12"/>
  <c r="AQ24" i="12"/>
  <c r="AP24" i="12"/>
  <c r="AO24" i="12"/>
  <c r="AN24" i="12"/>
  <c r="AM24" i="12"/>
  <c r="AL24" i="12"/>
  <c r="AK24" i="12"/>
  <c r="AJ24" i="12"/>
  <c r="AI24" i="12"/>
  <c r="AH24" i="12"/>
  <c r="AG24" i="12"/>
  <c r="AF24" i="12"/>
  <c r="AE24" i="12"/>
  <c r="AD24" i="12"/>
  <c r="AC24" i="12"/>
  <c r="AB24" i="12"/>
  <c r="AA24" i="12"/>
  <c r="Z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BY23" i="12"/>
  <c r="S22" i="12"/>
  <c r="BY22" i="12" s="1"/>
  <c r="S21" i="12"/>
  <c r="BY21" i="12" s="1"/>
  <c r="J20" i="12"/>
  <c r="BY20" i="12" s="1"/>
  <c r="L19" i="12"/>
  <c r="BX18" i="12"/>
  <c r="BX81" i="12" s="1"/>
  <c r="BW18" i="12"/>
  <c r="BW81" i="12" s="1"/>
  <c r="BV18" i="12"/>
  <c r="BV81" i="12" s="1"/>
  <c r="BU18" i="12"/>
  <c r="BT18" i="12"/>
  <c r="BS18" i="12"/>
  <c r="BR18" i="12"/>
  <c r="BR81" i="12" s="1"/>
  <c r="BQ18" i="12"/>
  <c r="BQ81" i="12" s="1"/>
  <c r="BP18" i="12"/>
  <c r="BP81" i="12" s="1"/>
  <c r="BO18" i="12"/>
  <c r="BO81" i="12" s="1"/>
  <c r="BN18" i="12"/>
  <c r="BN81" i="12" s="1"/>
  <c r="BM18" i="12"/>
  <c r="BL18" i="12"/>
  <c r="BK18" i="12"/>
  <c r="BJ18" i="12"/>
  <c r="BJ81" i="12" s="1"/>
  <c r="BI18" i="12"/>
  <c r="BI81" i="12" s="1"/>
  <c r="BH18" i="12"/>
  <c r="BH81" i="12" s="1"/>
  <c r="BG18" i="12"/>
  <c r="BG81" i="12" s="1"/>
  <c r="BF18" i="12"/>
  <c r="BF81" i="12" s="1"/>
  <c r="BE18" i="12"/>
  <c r="BD18" i="12"/>
  <c r="BC18" i="12"/>
  <c r="BB18" i="12"/>
  <c r="BB81" i="12" s="1"/>
  <c r="BA18" i="12"/>
  <c r="BA81" i="12" s="1"/>
  <c r="AZ18" i="12"/>
  <c r="AZ81" i="12" s="1"/>
  <c r="AY18" i="12"/>
  <c r="AY81" i="12" s="1"/>
  <c r="AX18" i="12"/>
  <c r="AX81" i="12" s="1"/>
  <c r="AW18" i="12"/>
  <c r="AV18" i="12"/>
  <c r="AU18" i="12"/>
  <c r="AT18" i="12"/>
  <c r="AT81" i="12" s="1"/>
  <c r="AS18" i="12"/>
  <c r="AS81" i="12" s="1"/>
  <c r="AR18" i="12"/>
  <c r="AR81" i="12" s="1"/>
  <c r="AQ18" i="12"/>
  <c r="AQ81" i="12" s="1"/>
  <c r="AP18" i="12"/>
  <c r="AP81" i="12" s="1"/>
  <c r="AO18" i="12"/>
  <c r="AN18" i="12"/>
  <c r="AM18" i="12"/>
  <c r="AL18" i="12"/>
  <c r="AK18" i="12"/>
  <c r="AJ18" i="12"/>
  <c r="AI18" i="12"/>
  <c r="AH18" i="12"/>
  <c r="AG18" i="12"/>
  <c r="AF18" i="12"/>
  <c r="AE18" i="12"/>
  <c r="AD18" i="12"/>
  <c r="AC18" i="12"/>
  <c r="AB18" i="12"/>
  <c r="AA18" i="12"/>
  <c r="Z18" i="12"/>
  <c r="Y18" i="12"/>
  <c r="X18" i="12"/>
  <c r="W18" i="12"/>
  <c r="V18" i="12"/>
  <c r="T18" i="12"/>
  <c r="S18" i="12"/>
  <c r="R18" i="12"/>
  <c r="R81" i="12" s="1"/>
  <c r="Q18" i="12"/>
  <c r="P18" i="12"/>
  <c r="O18" i="12"/>
  <c r="N18" i="12"/>
  <c r="M18" i="12"/>
  <c r="L18" i="12"/>
  <c r="K18" i="12"/>
  <c r="J18" i="12"/>
  <c r="J81" i="12" s="1"/>
  <c r="I18" i="12"/>
  <c r="I81" i="12" s="1"/>
  <c r="H18" i="12"/>
  <c r="G18" i="12"/>
  <c r="F18" i="12"/>
  <c r="E18" i="12"/>
  <c r="BX17" i="12"/>
  <c r="BX83" i="12" s="1"/>
  <c r="BW17" i="12"/>
  <c r="BV17" i="12"/>
  <c r="BV83" i="12" s="1"/>
  <c r="BU17" i="12"/>
  <c r="BT17" i="12"/>
  <c r="BS17" i="12"/>
  <c r="BR17" i="12"/>
  <c r="BQ17" i="12"/>
  <c r="BQ83" i="12" s="1"/>
  <c r="BP17" i="12"/>
  <c r="BP83" i="12" s="1"/>
  <c r="BO17" i="12"/>
  <c r="BN17" i="12"/>
  <c r="BN83" i="12" s="1"/>
  <c r="BM17" i="12"/>
  <c r="BL17" i="12"/>
  <c r="BK17" i="12"/>
  <c r="BJ17" i="12"/>
  <c r="BI17" i="12"/>
  <c r="BI83" i="12" s="1"/>
  <c r="BH17" i="12"/>
  <c r="BH83" i="12" s="1"/>
  <c r="BG17" i="12"/>
  <c r="BF17" i="12"/>
  <c r="BF83" i="12" s="1"/>
  <c r="BE17" i="12"/>
  <c r="BD17" i="12"/>
  <c r="BC17" i="12"/>
  <c r="BB17" i="12"/>
  <c r="BA17" i="12"/>
  <c r="BA83" i="12" s="1"/>
  <c r="AZ17" i="12"/>
  <c r="AZ83" i="12" s="1"/>
  <c r="AY17" i="12"/>
  <c r="AX17" i="12"/>
  <c r="AX83" i="12" s="1"/>
  <c r="AW17" i="12"/>
  <c r="AV17" i="12"/>
  <c r="AU17" i="12"/>
  <c r="AT17" i="12"/>
  <c r="AS17" i="12"/>
  <c r="AS83" i="12" s="1"/>
  <c r="AR17" i="12"/>
  <c r="AR83" i="12" s="1"/>
  <c r="AQ17" i="12"/>
  <c r="AP17" i="12"/>
  <c r="AP83" i="12" s="1"/>
  <c r="J17" i="12"/>
  <c r="I17" i="12"/>
  <c r="H17" i="12"/>
  <c r="G17" i="12"/>
  <c r="F17" i="12"/>
  <c r="E17" i="12"/>
  <c r="AG16" i="12"/>
  <c r="K16" i="12"/>
  <c r="S14" i="12"/>
  <c r="P14" i="12"/>
  <c r="P17" i="12" s="1"/>
  <c r="O14" i="12"/>
  <c r="BY11" i="12"/>
  <c r="AN10" i="12"/>
  <c r="AM10" i="12"/>
  <c r="AL10" i="12"/>
  <c r="AK10" i="12"/>
  <c r="AJ10" i="12"/>
  <c r="AI10" i="12"/>
  <c r="BY9" i="12"/>
  <c r="BY8" i="12"/>
  <c r="CD8" i="12" s="1"/>
  <c r="CD52" i="12" s="1"/>
  <c r="BY7" i="12"/>
  <c r="CD7" i="12" s="1"/>
  <c r="AL6" i="12"/>
  <c r="AK6" i="12"/>
  <c r="AJ6" i="12"/>
  <c r="AI6" i="12"/>
  <c r="AH6" i="12"/>
  <c r="AG6" i="12"/>
  <c r="AF6" i="12"/>
  <c r="AE6" i="12"/>
  <c r="AD6" i="12"/>
  <c r="AC6" i="12"/>
  <c r="AB6" i="12"/>
  <c r="V6" i="12"/>
  <c r="R6" i="12"/>
  <c r="Q6" i="12"/>
  <c r="Z5" i="12"/>
  <c r="O5" i="12"/>
  <c r="L5" i="12"/>
  <c r="K5" i="12"/>
  <c r="R8" i="11" a="1"/>
  <c r="R8" i="11"/>
  <c r="S8" i="11" s="1"/>
  <c r="M8" i="11" a="1"/>
  <c r="M8" i="11"/>
  <c r="N8" i="11" s="1"/>
  <c r="D161" i="10"/>
  <c r="BX154" i="10"/>
  <c r="BW154" i="10"/>
  <c r="BV154" i="10"/>
  <c r="BU154" i="10"/>
  <c r="BT154" i="10"/>
  <c r="BS154" i="10"/>
  <c r="BR154" i="10"/>
  <c r="BQ154" i="10"/>
  <c r="BP154" i="10"/>
  <c r="BO154" i="10"/>
  <c r="BN154" i="10"/>
  <c r="BM154" i="10"/>
  <c r="BL154" i="10"/>
  <c r="BK154" i="10"/>
  <c r="BJ154" i="10"/>
  <c r="BI154" i="10"/>
  <c r="BH154" i="10"/>
  <c r="BG154" i="10"/>
  <c r="BF154" i="10"/>
  <c r="BE154" i="10"/>
  <c r="BD154" i="10"/>
  <c r="BC154" i="10"/>
  <c r="BB154" i="10"/>
  <c r="BA154" i="10"/>
  <c r="AZ154" i="10"/>
  <c r="AY154" i="10"/>
  <c r="AX154" i="10"/>
  <c r="AW154" i="10"/>
  <c r="AV154" i="10"/>
  <c r="AU154" i="10"/>
  <c r="AT154" i="10"/>
  <c r="AS154" i="10"/>
  <c r="AR154" i="10"/>
  <c r="AQ154" i="10"/>
  <c r="AP154" i="10"/>
  <c r="AO154" i="10"/>
  <c r="AN154" i="10"/>
  <c r="AM154" i="10"/>
  <c r="AL154" i="10"/>
  <c r="AK154" i="10"/>
  <c r="AJ154" i="10"/>
  <c r="AI154" i="10"/>
  <c r="AH154" i="10"/>
  <c r="AG154" i="10"/>
  <c r="AF154" i="10"/>
  <c r="AE154" i="10"/>
  <c r="AD154" i="10"/>
  <c r="AC154" i="10"/>
  <c r="AB154" i="10"/>
  <c r="AA154" i="10"/>
  <c r="Z154" i="10"/>
  <c r="Y154" i="10"/>
  <c r="X154" i="10"/>
  <c r="W154" i="10"/>
  <c r="V154" i="10"/>
  <c r="U154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BX152" i="10"/>
  <c r="BW152" i="10"/>
  <c r="BW157" i="10" s="1"/>
  <c r="BV152" i="10"/>
  <c r="BV157" i="10" s="1"/>
  <c r="BU152" i="10"/>
  <c r="BU157" i="10" s="1"/>
  <c r="BT152" i="10"/>
  <c r="BT157" i="10" s="1"/>
  <c r="BS152" i="10"/>
  <c r="BS157" i="10" s="1"/>
  <c r="BR152" i="10"/>
  <c r="BR157" i="10" s="1"/>
  <c r="BQ152" i="10"/>
  <c r="BQ157" i="10" s="1"/>
  <c r="BP152" i="10"/>
  <c r="BP157" i="10" s="1"/>
  <c r="BO152" i="10"/>
  <c r="BO157" i="10" s="1"/>
  <c r="BN152" i="10"/>
  <c r="BN157" i="10" s="1"/>
  <c r="BM152" i="10"/>
  <c r="BM157" i="10" s="1"/>
  <c r="BL152" i="10"/>
  <c r="BL157" i="10" s="1"/>
  <c r="BK152" i="10"/>
  <c r="BK157" i="10" s="1"/>
  <c r="BJ152" i="10"/>
  <c r="BJ157" i="10" s="1"/>
  <c r="BI152" i="10"/>
  <c r="BI157" i="10" s="1"/>
  <c r="BH152" i="10"/>
  <c r="BH157" i="10" s="1"/>
  <c r="BG152" i="10"/>
  <c r="BG157" i="10" s="1"/>
  <c r="BF152" i="10"/>
  <c r="BF157" i="10" s="1"/>
  <c r="BE152" i="10"/>
  <c r="BE157" i="10" s="1"/>
  <c r="BD152" i="10"/>
  <c r="BD157" i="10" s="1"/>
  <c r="BC152" i="10"/>
  <c r="BC157" i="10" s="1"/>
  <c r="BB152" i="10"/>
  <c r="BB157" i="10" s="1"/>
  <c r="BA152" i="10"/>
  <c r="BA157" i="10" s="1"/>
  <c r="AZ152" i="10"/>
  <c r="AZ157" i="10" s="1"/>
  <c r="AY152" i="10"/>
  <c r="AY157" i="10" s="1"/>
  <c r="AX152" i="10"/>
  <c r="AX157" i="10" s="1"/>
  <c r="AW152" i="10"/>
  <c r="AW157" i="10" s="1"/>
  <c r="AV152" i="10"/>
  <c r="AV157" i="10" s="1"/>
  <c r="AU152" i="10"/>
  <c r="AU157" i="10" s="1"/>
  <c r="AT152" i="10"/>
  <c r="AT157" i="10" s="1"/>
  <c r="AS152" i="10"/>
  <c r="AS157" i="10" s="1"/>
  <c r="AR152" i="10"/>
  <c r="AR157" i="10" s="1"/>
  <c r="AQ152" i="10"/>
  <c r="AQ157" i="10" s="1"/>
  <c r="AP152" i="10"/>
  <c r="AP157" i="10" s="1"/>
  <c r="AO152" i="10"/>
  <c r="AO157" i="10" s="1"/>
  <c r="AN152" i="10"/>
  <c r="AN157" i="10" s="1"/>
  <c r="AM152" i="10"/>
  <c r="AM157" i="10" s="1"/>
  <c r="AL152" i="10"/>
  <c r="AL157" i="10" s="1"/>
  <c r="AK152" i="10"/>
  <c r="AK157" i="10" s="1"/>
  <c r="AJ152" i="10"/>
  <c r="AJ157" i="10" s="1"/>
  <c r="AI152" i="10"/>
  <c r="AI157" i="10" s="1"/>
  <c r="AH152" i="10"/>
  <c r="AH157" i="10" s="1"/>
  <c r="AG152" i="10"/>
  <c r="AG157" i="10" s="1"/>
  <c r="AF152" i="10"/>
  <c r="AF157" i="10" s="1"/>
  <c r="AE152" i="10"/>
  <c r="AE157" i="10" s="1"/>
  <c r="AD152" i="10"/>
  <c r="AD157" i="10" s="1"/>
  <c r="AC152" i="10"/>
  <c r="AC157" i="10" s="1"/>
  <c r="AB152" i="10"/>
  <c r="AB157" i="10" s="1"/>
  <c r="AA152" i="10"/>
  <c r="AA157" i="10" s="1"/>
  <c r="Z152" i="10"/>
  <c r="Z157" i="10" s="1"/>
  <c r="Y152" i="10"/>
  <c r="Y157" i="10" s="1"/>
  <c r="X152" i="10"/>
  <c r="X157" i="10" s="1"/>
  <c r="W152" i="10"/>
  <c r="W157" i="10" s="1"/>
  <c r="V152" i="10"/>
  <c r="V157" i="10" s="1"/>
  <c r="U152" i="10"/>
  <c r="U157" i="10" s="1"/>
  <c r="T152" i="10"/>
  <c r="T157" i="10" s="1"/>
  <c r="S152" i="10"/>
  <c r="S157" i="10" s="1"/>
  <c r="R152" i="10"/>
  <c r="R157" i="10" s="1"/>
  <c r="Q152" i="10"/>
  <c r="Q157" i="10" s="1"/>
  <c r="P152" i="10"/>
  <c r="P157" i="10" s="1"/>
  <c r="O152" i="10"/>
  <c r="O157" i="10" s="1"/>
  <c r="N152" i="10"/>
  <c r="N157" i="10" s="1"/>
  <c r="M152" i="10"/>
  <c r="M157" i="10" s="1"/>
  <c r="L152" i="10"/>
  <c r="L157" i="10" s="1"/>
  <c r="K152" i="10"/>
  <c r="K157" i="10" s="1"/>
  <c r="J152" i="10"/>
  <c r="J157" i="10" s="1"/>
  <c r="I152" i="10"/>
  <c r="I157" i="10" s="1"/>
  <c r="H152" i="10"/>
  <c r="H157" i="10" s="1"/>
  <c r="G152" i="10"/>
  <c r="G157" i="10" s="1"/>
  <c r="F152" i="10"/>
  <c r="F157" i="10" s="1"/>
  <c r="E152" i="10"/>
  <c r="E157" i="10" s="1"/>
  <c r="D144" i="10"/>
  <c r="BX137" i="10"/>
  <c r="BW137" i="10"/>
  <c r="BV137" i="10"/>
  <c r="BU137" i="10"/>
  <c r="BT137" i="10"/>
  <c r="BS137" i="10"/>
  <c r="BR137" i="10"/>
  <c r="BQ137" i="10"/>
  <c r="BP137" i="10"/>
  <c r="BO137" i="10"/>
  <c r="BN137" i="10"/>
  <c r="BM137" i="10"/>
  <c r="BL137" i="10"/>
  <c r="BK137" i="10"/>
  <c r="BJ137" i="10"/>
  <c r="BI137" i="10"/>
  <c r="BH137" i="10"/>
  <c r="BG137" i="10"/>
  <c r="BF137" i="10"/>
  <c r="BE137" i="10"/>
  <c r="BD137" i="10"/>
  <c r="BC137" i="10"/>
  <c r="BB137" i="10"/>
  <c r="BA137" i="10"/>
  <c r="AZ137" i="10"/>
  <c r="AY137" i="10"/>
  <c r="AX137" i="10"/>
  <c r="AW137" i="10"/>
  <c r="AV137" i="10"/>
  <c r="AU137" i="10"/>
  <c r="AT137" i="10"/>
  <c r="AS137" i="10"/>
  <c r="AR137" i="10"/>
  <c r="AQ137" i="10"/>
  <c r="AP137" i="10"/>
  <c r="AO137" i="10"/>
  <c r="AN137" i="10"/>
  <c r="AM137" i="10"/>
  <c r="AL137" i="10"/>
  <c r="AK137" i="10"/>
  <c r="AJ137" i="10"/>
  <c r="AI137" i="10"/>
  <c r="AH137" i="10"/>
  <c r="AG137" i="10"/>
  <c r="AF137" i="10"/>
  <c r="AE137" i="10"/>
  <c r="AD137" i="10"/>
  <c r="AC137" i="10"/>
  <c r="AB137" i="10"/>
  <c r="AA137" i="10"/>
  <c r="Z137" i="10"/>
  <c r="Y137" i="10"/>
  <c r="X137" i="10"/>
  <c r="W137" i="10"/>
  <c r="V137" i="10"/>
  <c r="U137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BX135" i="10"/>
  <c r="BW135" i="10"/>
  <c r="BW140" i="10" s="1"/>
  <c r="BV135" i="10"/>
  <c r="BV140" i="10" s="1"/>
  <c r="BU135" i="10"/>
  <c r="BU140" i="10" s="1"/>
  <c r="BT135" i="10"/>
  <c r="BT140" i="10" s="1"/>
  <c r="BS135" i="10"/>
  <c r="BS140" i="10" s="1"/>
  <c r="BR135" i="10"/>
  <c r="BR140" i="10" s="1"/>
  <c r="BQ135" i="10"/>
  <c r="BQ140" i="10" s="1"/>
  <c r="BP135" i="10"/>
  <c r="BP140" i="10" s="1"/>
  <c r="BO135" i="10"/>
  <c r="BO140" i="10" s="1"/>
  <c r="BN135" i="10"/>
  <c r="BN140" i="10" s="1"/>
  <c r="BM135" i="10"/>
  <c r="BM140" i="10" s="1"/>
  <c r="BL135" i="10"/>
  <c r="BL140" i="10" s="1"/>
  <c r="BK135" i="10"/>
  <c r="BK140" i="10" s="1"/>
  <c r="BJ135" i="10"/>
  <c r="BJ140" i="10" s="1"/>
  <c r="BI135" i="10"/>
  <c r="BI140" i="10" s="1"/>
  <c r="BH135" i="10"/>
  <c r="BH140" i="10" s="1"/>
  <c r="BG135" i="10"/>
  <c r="BG140" i="10" s="1"/>
  <c r="BF135" i="10"/>
  <c r="BF140" i="10" s="1"/>
  <c r="BE135" i="10"/>
  <c r="BE140" i="10" s="1"/>
  <c r="BD135" i="10"/>
  <c r="BD140" i="10" s="1"/>
  <c r="BC135" i="10"/>
  <c r="BC140" i="10" s="1"/>
  <c r="BB135" i="10"/>
  <c r="BB140" i="10" s="1"/>
  <c r="BA135" i="10"/>
  <c r="BA140" i="10" s="1"/>
  <c r="AZ135" i="10"/>
  <c r="AZ140" i="10" s="1"/>
  <c r="AY135" i="10"/>
  <c r="AY140" i="10" s="1"/>
  <c r="AX135" i="10"/>
  <c r="AX140" i="10" s="1"/>
  <c r="AW135" i="10"/>
  <c r="AW140" i="10" s="1"/>
  <c r="AV135" i="10"/>
  <c r="AV140" i="10" s="1"/>
  <c r="AU135" i="10"/>
  <c r="AU140" i="10" s="1"/>
  <c r="AT135" i="10"/>
  <c r="AT140" i="10" s="1"/>
  <c r="AS135" i="10"/>
  <c r="AS140" i="10" s="1"/>
  <c r="AR135" i="10"/>
  <c r="AR140" i="10" s="1"/>
  <c r="AQ135" i="10"/>
  <c r="AQ140" i="10" s="1"/>
  <c r="AP135" i="10"/>
  <c r="AP140" i="10" s="1"/>
  <c r="AO135" i="10"/>
  <c r="AO140" i="10" s="1"/>
  <c r="AN135" i="10"/>
  <c r="AN140" i="10" s="1"/>
  <c r="AM135" i="10"/>
  <c r="AM140" i="10" s="1"/>
  <c r="AL135" i="10"/>
  <c r="AL140" i="10" s="1"/>
  <c r="AK135" i="10"/>
  <c r="AK140" i="10" s="1"/>
  <c r="AJ135" i="10"/>
  <c r="AJ140" i="10" s="1"/>
  <c r="AI135" i="10"/>
  <c r="AI140" i="10" s="1"/>
  <c r="AH135" i="10"/>
  <c r="AH140" i="10" s="1"/>
  <c r="AG135" i="10"/>
  <c r="AG140" i="10" s="1"/>
  <c r="AF135" i="10"/>
  <c r="AF140" i="10" s="1"/>
  <c r="AE135" i="10"/>
  <c r="AE140" i="10" s="1"/>
  <c r="AD135" i="10"/>
  <c r="AD140" i="10" s="1"/>
  <c r="AC135" i="10"/>
  <c r="AC140" i="10" s="1"/>
  <c r="AB135" i="10"/>
  <c r="AB140" i="10" s="1"/>
  <c r="AA135" i="10"/>
  <c r="AA140" i="10" s="1"/>
  <c r="Z135" i="10"/>
  <c r="Z140" i="10" s="1"/>
  <c r="Y135" i="10"/>
  <c r="Y140" i="10" s="1"/>
  <c r="X135" i="10"/>
  <c r="X140" i="10" s="1"/>
  <c r="W135" i="10"/>
  <c r="W140" i="10" s="1"/>
  <c r="V135" i="10"/>
  <c r="V140" i="10" s="1"/>
  <c r="U135" i="10"/>
  <c r="U140" i="10" s="1"/>
  <c r="T135" i="10"/>
  <c r="T140" i="10" s="1"/>
  <c r="S135" i="10"/>
  <c r="S140" i="10" s="1"/>
  <c r="R135" i="10"/>
  <c r="R140" i="10" s="1"/>
  <c r="Q135" i="10"/>
  <c r="Q140" i="10" s="1"/>
  <c r="P135" i="10"/>
  <c r="P140" i="10" s="1"/>
  <c r="O135" i="10"/>
  <c r="O140" i="10" s="1"/>
  <c r="N135" i="10"/>
  <c r="N140" i="10" s="1"/>
  <c r="M135" i="10"/>
  <c r="M140" i="10" s="1"/>
  <c r="L135" i="10"/>
  <c r="L140" i="10" s="1"/>
  <c r="K135" i="10"/>
  <c r="K140" i="10" s="1"/>
  <c r="J135" i="10"/>
  <c r="J140" i="10" s="1"/>
  <c r="I135" i="10"/>
  <c r="I140" i="10" s="1"/>
  <c r="H135" i="10"/>
  <c r="H140" i="10" s="1"/>
  <c r="G135" i="10"/>
  <c r="G140" i="10" s="1"/>
  <c r="F135" i="10"/>
  <c r="F140" i="10" s="1"/>
  <c r="E135" i="10"/>
  <c r="E140" i="10" s="1"/>
  <c r="D117" i="10"/>
  <c r="BX115" i="10"/>
  <c r="BW115" i="10"/>
  <c r="BV115" i="10"/>
  <c r="BU115" i="10"/>
  <c r="BT115" i="10"/>
  <c r="BS115" i="10"/>
  <c r="BR115" i="10"/>
  <c r="BQ115" i="10"/>
  <c r="BP115" i="10"/>
  <c r="BO115" i="10"/>
  <c r="BN115" i="10"/>
  <c r="BM115" i="10"/>
  <c r="BL115" i="10"/>
  <c r="BK115" i="10"/>
  <c r="BJ115" i="10"/>
  <c r="BI115" i="10"/>
  <c r="BH115" i="10"/>
  <c r="BG115" i="10"/>
  <c r="BF115" i="10"/>
  <c r="BE115" i="10"/>
  <c r="BD115" i="10"/>
  <c r="BC115" i="10"/>
  <c r="BB115" i="10"/>
  <c r="BA115" i="10"/>
  <c r="AZ115" i="10"/>
  <c r="AY115" i="10"/>
  <c r="AX115" i="10"/>
  <c r="AW115" i="10"/>
  <c r="AV115" i="10"/>
  <c r="AU115" i="10"/>
  <c r="AT115" i="10"/>
  <c r="AS115" i="10"/>
  <c r="AR115" i="10"/>
  <c r="AQ115" i="10"/>
  <c r="AP115" i="10"/>
  <c r="AN115" i="10"/>
  <c r="AM115" i="10"/>
  <c r="AL115" i="10"/>
  <c r="AK115" i="10"/>
  <c r="AJ115" i="10"/>
  <c r="AI115" i="10"/>
  <c r="AH115" i="10"/>
  <c r="AG115" i="10"/>
  <c r="AF115" i="10"/>
  <c r="AE115" i="10"/>
  <c r="AD115" i="10"/>
  <c r="AC115" i="10"/>
  <c r="AB115" i="10"/>
  <c r="AA115" i="10"/>
  <c r="Z115" i="10"/>
  <c r="Y115" i="10"/>
  <c r="X115" i="10"/>
  <c r="W115" i="10"/>
  <c r="V115" i="10"/>
  <c r="U115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G115" i="10"/>
  <c r="F115" i="10"/>
  <c r="E115" i="10"/>
  <c r="BX113" i="10"/>
  <c r="BW113" i="10"/>
  <c r="BW118" i="10" s="1"/>
  <c r="BV113" i="10"/>
  <c r="BV118" i="10" s="1"/>
  <c r="BU113" i="10"/>
  <c r="BU118" i="10" s="1"/>
  <c r="BT113" i="10"/>
  <c r="BT118" i="10" s="1"/>
  <c r="BS113" i="10"/>
  <c r="BS118" i="10" s="1"/>
  <c r="BR113" i="10"/>
  <c r="BR118" i="10" s="1"/>
  <c r="BQ113" i="10"/>
  <c r="BQ118" i="10" s="1"/>
  <c r="BP113" i="10"/>
  <c r="BP118" i="10" s="1"/>
  <c r="BO113" i="10"/>
  <c r="BO118" i="10" s="1"/>
  <c r="BN113" i="10"/>
  <c r="BN118" i="10" s="1"/>
  <c r="BM113" i="10"/>
  <c r="BM118" i="10" s="1"/>
  <c r="BL113" i="10"/>
  <c r="BL118" i="10" s="1"/>
  <c r="BK113" i="10"/>
  <c r="BK118" i="10" s="1"/>
  <c r="BJ113" i="10"/>
  <c r="BJ118" i="10" s="1"/>
  <c r="BI113" i="10"/>
  <c r="BI118" i="10" s="1"/>
  <c r="BH113" i="10"/>
  <c r="BH118" i="10" s="1"/>
  <c r="BG113" i="10"/>
  <c r="BG118" i="10" s="1"/>
  <c r="BF113" i="10"/>
  <c r="BF118" i="10" s="1"/>
  <c r="BE113" i="10"/>
  <c r="BE118" i="10" s="1"/>
  <c r="BD113" i="10"/>
  <c r="BD118" i="10" s="1"/>
  <c r="BC113" i="10"/>
  <c r="BC118" i="10" s="1"/>
  <c r="BB113" i="10"/>
  <c r="BB118" i="10" s="1"/>
  <c r="BA113" i="10"/>
  <c r="BA118" i="10" s="1"/>
  <c r="AZ113" i="10"/>
  <c r="AZ118" i="10" s="1"/>
  <c r="AY113" i="10"/>
  <c r="AY118" i="10" s="1"/>
  <c r="AX113" i="10"/>
  <c r="AX118" i="10" s="1"/>
  <c r="AW113" i="10"/>
  <c r="AW118" i="10" s="1"/>
  <c r="AV113" i="10"/>
  <c r="AV118" i="10" s="1"/>
  <c r="AU113" i="10"/>
  <c r="AU118" i="10" s="1"/>
  <c r="AT113" i="10"/>
  <c r="AT118" i="10" s="1"/>
  <c r="AS113" i="10"/>
  <c r="AS118" i="10" s="1"/>
  <c r="AR113" i="10"/>
  <c r="AR118" i="10" s="1"/>
  <c r="AQ113" i="10"/>
  <c r="AQ118" i="10" s="1"/>
  <c r="AP113" i="10"/>
  <c r="AP118" i="10" s="1"/>
  <c r="AN113" i="10"/>
  <c r="AN118" i="10" s="1"/>
  <c r="AM113" i="10"/>
  <c r="AM118" i="10" s="1"/>
  <c r="AA113" i="10"/>
  <c r="AA118" i="10" s="1"/>
  <c r="Z113" i="10"/>
  <c r="Z118" i="10" s="1"/>
  <c r="Y113" i="10"/>
  <c r="Y118" i="10" s="1"/>
  <c r="X113" i="10"/>
  <c r="X118" i="10" s="1"/>
  <c r="W113" i="10"/>
  <c r="W118" i="10" s="1"/>
  <c r="T113" i="10"/>
  <c r="T118" i="10" s="1"/>
  <c r="S113" i="10"/>
  <c r="S118" i="10" s="1"/>
  <c r="P113" i="10"/>
  <c r="P118" i="10" s="1"/>
  <c r="O113" i="10"/>
  <c r="O118" i="10" s="1"/>
  <c r="N113" i="10"/>
  <c r="N118" i="10" s="1"/>
  <c r="M113" i="10"/>
  <c r="M118" i="10" s="1"/>
  <c r="L113" i="10"/>
  <c r="L118" i="10" s="1"/>
  <c r="K113" i="10"/>
  <c r="K118" i="10" s="1"/>
  <c r="J113" i="10"/>
  <c r="J118" i="10" s="1"/>
  <c r="I113" i="10"/>
  <c r="I118" i="10" s="1"/>
  <c r="H113" i="10"/>
  <c r="H118" i="10" s="1"/>
  <c r="G113" i="10"/>
  <c r="G118" i="10" s="1"/>
  <c r="F113" i="10"/>
  <c r="F118" i="10" s="1"/>
  <c r="E113" i="10"/>
  <c r="E118" i="10" s="1"/>
  <c r="E119" i="10" s="1"/>
  <c r="BX99" i="10"/>
  <c r="BW99" i="10"/>
  <c r="BV99" i="10"/>
  <c r="BU99" i="10"/>
  <c r="BT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BA99" i="10"/>
  <c r="AZ99" i="10"/>
  <c r="AY99" i="10"/>
  <c r="AX99" i="10"/>
  <c r="AW99" i="10"/>
  <c r="AV99" i="10"/>
  <c r="AU99" i="10"/>
  <c r="AT99" i="10"/>
  <c r="AS99" i="10"/>
  <c r="AR99" i="10"/>
  <c r="AQ99" i="10"/>
  <c r="AP99" i="10"/>
  <c r="AN99" i="10"/>
  <c r="AM99" i="10"/>
  <c r="AL99" i="10"/>
  <c r="AK99" i="10"/>
  <c r="AJ99" i="10"/>
  <c r="AI99" i="10"/>
  <c r="AH99" i="10"/>
  <c r="AG99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BX97" i="10"/>
  <c r="BW97" i="10"/>
  <c r="BW103" i="10" s="1"/>
  <c r="BV97" i="10"/>
  <c r="BV103" i="10" s="1"/>
  <c r="BU97" i="10"/>
  <c r="BU103" i="10" s="1"/>
  <c r="BT97" i="10"/>
  <c r="BT103" i="10" s="1"/>
  <c r="BS97" i="10"/>
  <c r="BS103" i="10" s="1"/>
  <c r="BR97" i="10"/>
  <c r="BR103" i="10" s="1"/>
  <c r="BQ97" i="10"/>
  <c r="BQ103" i="10" s="1"/>
  <c r="BP97" i="10"/>
  <c r="BP103" i="10" s="1"/>
  <c r="BO97" i="10"/>
  <c r="BO103" i="10" s="1"/>
  <c r="BN97" i="10"/>
  <c r="BN103" i="10" s="1"/>
  <c r="BM97" i="10"/>
  <c r="BM103" i="10" s="1"/>
  <c r="BL97" i="10"/>
  <c r="BL103" i="10" s="1"/>
  <c r="BK97" i="10"/>
  <c r="BK103" i="10" s="1"/>
  <c r="BJ97" i="10"/>
  <c r="BJ103" i="10" s="1"/>
  <c r="BI97" i="10"/>
  <c r="BI103" i="10" s="1"/>
  <c r="BH97" i="10"/>
  <c r="BH103" i="10" s="1"/>
  <c r="BG97" i="10"/>
  <c r="BG103" i="10" s="1"/>
  <c r="BF97" i="10"/>
  <c r="BF103" i="10" s="1"/>
  <c r="BE97" i="10"/>
  <c r="BE103" i="10" s="1"/>
  <c r="BD97" i="10"/>
  <c r="BD103" i="10" s="1"/>
  <c r="BC97" i="10"/>
  <c r="BC103" i="10" s="1"/>
  <c r="BB97" i="10"/>
  <c r="BB103" i="10" s="1"/>
  <c r="BA97" i="10"/>
  <c r="BA103" i="10" s="1"/>
  <c r="AZ97" i="10"/>
  <c r="AZ103" i="10" s="1"/>
  <c r="AY97" i="10"/>
  <c r="AY103" i="10" s="1"/>
  <c r="AX97" i="10"/>
  <c r="AX103" i="10" s="1"/>
  <c r="AW97" i="10"/>
  <c r="AW103" i="10" s="1"/>
  <c r="AV97" i="10"/>
  <c r="AV103" i="10" s="1"/>
  <c r="AU97" i="10"/>
  <c r="AU103" i="10" s="1"/>
  <c r="AT97" i="10"/>
  <c r="AT103" i="10" s="1"/>
  <c r="AS97" i="10"/>
  <c r="AS103" i="10" s="1"/>
  <c r="AR97" i="10"/>
  <c r="AR103" i="10" s="1"/>
  <c r="AQ97" i="10"/>
  <c r="AQ103" i="10" s="1"/>
  <c r="AP97" i="10"/>
  <c r="AP103" i="10" s="1"/>
  <c r="AN97" i="10"/>
  <c r="AN103" i="10" s="1"/>
  <c r="AM97" i="10"/>
  <c r="AM103" i="10" s="1"/>
  <c r="AL97" i="10"/>
  <c r="AL103" i="10" s="1"/>
  <c r="AK97" i="10"/>
  <c r="AK103" i="10" s="1"/>
  <c r="AJ97" i="10"/>
  <c r="AJ103" i="10" s="1"/>
  <c r="AI97" i="10"/>
  <c r="AI103" i="10" s="1"/>
  <c r="AH97" i="10"/>
  <c r="AH103" i="10" s="1"/>
  <c r="AG97" i="10"/>
  <c r="AG103" i="10" s="1"/>
  <c r="AF97" i="10"/>
  <c r="AF103" i="10" s="1"/>
  <c r="AE97" i="10"/>
  <c r="AE103" i="10" s="1"/>
  <c r="AD97" i="10"/>
  <c r="AD103" i="10" s="1"/>
  <c r="AC97" i="10"/>
  <c r="AC103" i="10" s="1"/>
  <c r="AB97" i="10"/>
  <c r="AB103" i="10" s="1"/>
  <c r="AA97" i="10"/>
  <c r="AA103" i="10" s="1"/>
  <c r="Y97" i="10"/>
  <c r="Y103" i="10" s="1"/>
  <c r="X97" i="10"/>
  <c r="X103" i="10" s="1"/>
  <c r="W97" i="10"/>
  <c r="W103" i="10" s="1"/>
  <c r="V97" i="10"/>
  <c r="V103" i="10" s="1"/>
  <c r="T97" i="10"/>
  <c r="T103" i="10" s="1"/>
  <c r="S97" i="10"/>
  <c r="S103" i="10" s="1"/>
  <c r="R97" i="10"/>
  <c r="R103" i="10" s="1"/>
  <c r="P97" i="10"/>
  <c r="P103" i="10" s="1"/>
  <c r="N97" i="10"/>
  <c r="N103" i="10" s="1"/>
  <c r="M97" i="10"/>
  <c r="M103" i="10" s="1"/>
  <c r="J97" i="10"/>
  <c r="J103" i="10" s="1"/>
  <c r="I97" i="10"/>
  <c r="I103" i="10" s="1"/>
  <c r="H97" i="10"/>
  <c r="H103" i="10" s="1"/>
  <c r="G97" i="10"/>
  <c r="G103" i="10" s="1"/>
  <c r="F97" i="10"/>
  <c r="F103" i="10" s="1"/>
  <c r="E97" i="10"/>
  <c r="E103" i="10" s="1"/>
  <c r="BW89" i="10"/>
  <c r="BV89" i="10"/>
  <c r="BU89" i="10"/>
  <c r="BT89" i="10"/>
  <c r="BS89" i="10"/>
  <c r="BR89" i="10"/>
  <c r="BQ89" i="10"/>
  <c r="BP89" i="10"/>
  <c r="BO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Z89" i="10"/>
  <c r="AY89" i="10"/>
  <c r="AX89" i="10"/>
  <c r="AW89" i="10"/>
  <c r="AV89" i="10"/>
  <c r="AU89" i="10"/>
  <c r="AT89" i="10"/>
  <c r="AS89" i="10"/>
  <c r="AR89" i="10"/>
  <c r="AQ89" i="10"/>
  <c r="AP89" i="10"/>
  <c r="AN89" i="10"/>
  <c r="AM89" i="10"/>
  <c r="AL89" i="10"/>
  <c r="AK89" i="10"/>
  <c r="AJ89" i="10"/>
  <c r="AA89" i="10"/>
  <c r="Y89" i="10"/>
  <c r="X89" i="10"/>
  <c r="W89" i="10"/>
  <c r="T89" i="10"/>
  <c r="S89" i="10"/>
  <c r="P89" i="10"/>
  <c r="N89" i="10"/>
  <c r="M89" i="10"/>
  <c r="J89" i="10"/>
  <c r="I89" i="10"/>
  <c r="H89" i="10"/>
  <c r="G89" i="10"/>
  <c r="F89" i="10"/>
  <c r="E89" i="10"/>
  <c r="BY79" i="10"/>
  <c r="R78" i="10"/>
  <c r="BY78" i="10" s="1"/>
  <c r="BY77" i="10"/>
  <c r="BY76" i="10"/>
  <c r="U74" i="10"/>
  <c r="Q74" i="10"/>
  <c r="BX73" i="10"/>
  <c r="BW73" i="10"/>
  <c r="BV73" i="10"/>
  <c r="BU73" i="10"/>
  <c r="BT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AP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BY72" i="10"/>
  <c r="BY71" i="10"/>
  <c r="BY70" i="10"/>
  <c r="BX70" i="10"/>
  <c r="BW70" i="10"/>
  <c r="BV70" i="10"/>
  <c r="BU70" i="10"/>
  <c r="BT70" i="10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BY68" i="10"/>
  <c r="BY67" i="10"/>
  <c r="BY66" i="10"/>
  <c r="BY65" i="10"/>
  <c r="BY64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AO61" i="10"/>
  <c r="AN61" i="10"/>
  <c r="AM61" i="10"/>
  <c r="AL61" i="10"/>
  <c r="AK61" i="10"/>
  <c r="AJ61" i="10"/>
  <c r="AI61" i="10"/>
  <c r="BY61" i="10" s="1"/>
  <c r="BY60" i="10"/>
  <c r="D60" i="10"/>
  <c r="BY59" i="10"/>
  <c r="BY58" i="10"/>
  <c r="BY57" i="10"/>
  <c r="Q55" i="10"/>
  <c r="Q54" i="10" s="1"/>
  <c r="CC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BY53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BY52" i="10" s="1"/>
  <c r="BY51" i="10"/>
  <c r="BY50" i="10"/>
  <c r="CC48" i="10"/>
  <c r="CC70" i="10" s="1"/>
  <c r="BX48" i="10"/>
  <c r="BW48" i="10"/>
  <c r="BV48" i="10"/>
  <c r="BU48" i="10"/>
  <c r="BT48" i="10"/>
  <c r="BS48" i="10"/>
  <c r="BR48" i="10"/>
  <c r="BQ48" i="10"/>
  <c r="BP48" i="10"/>
  <c r="BO48" i="10"/>
  <c r="BN48" i="10"/>
  <c r="BM48" i="10"/>
  <c r="BL48" i="10"/>
  <c r="BK48" i="10"/>
  <c r="BJ48" i="10"/>
  <c r="BI48" i="10"/>
  <c r="BH48" i="10"/>
  <c r="BG48" i="10"/>
  <c r="BF48" i="10"/>
  <c r="BE48" i="10"/>
  <c r="BD48" i="10"/>
  <c r="BC48" i="10"/>
  <c r="BB48" i="10"/>
  <c r="BA48" i="10"/>
  <c r="AZ48" i="10"/>
  <c r="AY48" i="10"/>
  <c r="AX48" i="10"/>
  <c r="AW48" i="10"/>
  <c r="AV48" i="10"/>
  <c r="AU48" i="10"/>
  <c r="AT48" i="10"/>
  <c r="AS48" i="10"/>
  <c r="AR48" i="10"/>
  <c r="AQ48" i="10"/>
  <c r="AP48" i="10"/>
  <c r="AO48" i="10"/>
  <c r="AN48" i="10"/>
  <c r="AM48" i="10"/>
  <c r="AL48" i="10"/>
  <c r="AK48" i="10"/>
  <c r="AJ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J48" i="10"/>
  <c r="I48" i="10"/>
  <c r="H48" i="10"/>
  <c r="G48" i="10"/>
  <c r="F48" i="10"/>
  <c r="E48" i="10"/>
  <c r="AO46" i="10"/>
  <c r="AN46" i="10"/>
  <c r="AG46" i="10"/>
  <c r="V46" i="10"/>
  <c r="BY46" i="10" s="1"/>
  <c r="AO45" i="10"/>
  <c r="AN45" i="10"/>
  <c r="U45" i="10"/>
  <c r="S45" i="10"/>
  <c r="BY45" i="10" s="1"/>
  <c r="CD44" i="10"/>
  <c r="R44" i="10"/>
  <c r="Q44" i="10"/>
  <c r="P44" i="10"/>
  <c r="O44" i="10"/>
  <c r="N44" i="10"/>
  <c r="L44" i="10"/>
  <c r="I44" i="10"/>
  <c r="CD43" i="10"/>
  <c r="CD69" i="10" s="1" a="1"/>
  <c r="CD69" i="10" s="1"/>
  <c r="R43" i="10"/>
  <c r="P43" i="10"/>
  <c r="O43" i="10"/>
  <c r="L43" i="10"/>
  <c r="BY42" i="10"/>
  <c r="CD41" i="10"/>
  <c r="CD68" i="10" s="1"/>
  <c r="BY41" i="10"/>
  <c r="CD40" i="10"/>
  <c r="CD67" i="10" s="1"/>
  <c r="CA40" i="10"/>
  <c r="AN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N40" i="10"/>
  <c r="BY40" i="10" s="1"/>
  <c r="CB40" i="10" s="1"/>
  <c r="CD39" i="10"/>
  <c r="CD66" i="10" s="1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BY39" i="10" s="1"/>
  <c r="CA39" i="10" s="1"/>
  <c r="CA41" i="10" s="1"/>
  <c r="BX38" i="10"/>
  <c r="BW38" i="10"/>
  <c r="BV38" i="10"/>
  <c r="BU38" i="10"/>
  <c r="BT38" i="10"/>
  <c r="BS38" i="10"/>
  <c r="BR38" i="10"/>
  <c r="BQ38" i="10"/>
  <c r="BP38" i="10"/>
  <c r="BO38" i="10"/>
  <c r="BN38" i="10"/>
  <c r="BM38" i="10"/>
  <c r="BL38" i="10"/>
  <c r="BK38" i="10"/>
  <c r="BJ38" i="10"/>
  <c r="BI38" i="10"/>
  <c r="BH38" i="10"/>
  <c r="BG38" i="10"/>
  <c r="BF38" i="10"/>
  <c r="BE38" i="10"/>
  <c r="BD38" i="10"/>
  <c r="BC38" i="10"/>
  <c r="BB38" i="10"/>
  <c r="BA38" i="10"/>
  <c r="AZ38" i="10"/>
  <c r="AY38" i="10"/>
  <c r="AX38" i="10"/>
  <c r="AW38" i="10"/>
  <c r="AV38" i="10"/>
  <c r="AU38" i="10"/>
  <c r="AT38" i="10"/>
  <c r="AS38" i="10"/>
  <c r="AR38" i="10"/>
  <c r="AQ38" i="10"/>
  <c r="AP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CD37" i="10" a="1"/>
  <c r="CD37" i="10" s="1"/>
  <c r="CD64" i="10" s="1"/>
  <c r="BY37" i="10"/>
  <c r="CD36" i="10" a="1"/>
  <c r="CD36" i="10" s="1"/>
  <c r="CD63" i="10" s="1"/>
  <c r="BX35" i="10"/>
  <c r="BW35" i="10"/>
  <c r="BV35" i="10"/>
  <c r="BU35" i="10"/>
  <c r="BT35" i="10"/>
  <c r="BS35" i="10"/>
  <c r="BR35" i="10"/>
  <c r="BQ35" i="10"/>
  <c r="BP35" i="10"/>
  <c r="BO35" i="10"/>
  <c r="BN35" i="10"/>
  <c r="BM35" i="10"/>
  <c r="BL35" i="10"/>
  <c r="BK35" i="10"/>
  <c r="BJ35" i="10"/>
  <c r="BI35" i="10"/>
  <c r="BH35" i="10"/>
  <c r="BG35" i="10"/>
  <c r="BF35" i="10"/>
  <c r="BE35" i="10"/>
  <c r="BD35" i="10"/>
  <c r="BC35" i="10"/>
  <c r="BB35" i="10"/>
  <c r="BA35" i="10"/>
  <c r="AZ35" i="10"/>
  <c r="AY35" i="10"/>
  <c r="AX35" i="10"/>
  <c r="AW35" i="10"/>
  <c r="AV35" i="10"/>
  <c r="AU35" i="10"/>
  <c r="AT35" i="10"/>
  <c r="AS35" i="10"/>
  <c r="AR35" i="10"/>
  <c r="AQ35" i="10"/>
  <c r="AP35" i="10"/>
  <c r="AO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CD34" i="10"/>
  <c r="BY34" i="10"/>
  <c r="CD33" i="10"/>
  <c r="BY33" i="10"/>
  <c r="CD32" i="10"/>
  <c r="BY32" i="10"/>
  <c r="CD31" i="10"/>
  <c r="V31" i="10"/>
  <c r="U31" i="10"/>
  <c r="BY31" i="10" s="1"/>
  <c r="CD30" i="10"/>
  <c r="BY30" i="10"/>
  <c r="CD29" i="10"/>
  <c r="BY29" i="10"/>
  <c r="CD28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AP27" i="10"/>
  <c r="AO27" i="10"/>
  <c r="AF27" i="10"/>
  <c r="AE27" i="10"/>
  <c r="AD27" i="10"/>
  <c r="AC27" i="10"/>
  <c r="AB27" i="10"/>
  <c r="AA27" i="10"/>
  <c r="Z27" i="10"/>
  <c r="Y27" i="10"/>
  <c r="X27" i="10"/>
  <c r="W27" i="10"/>
  <c r="V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CD26" i="10"/>
  <c r="CD25" i="10"/>
  <c r="AC25" i="10"/>
  <c r="AB25" i="10"/>
  <c r="Z25" i="10"/>
  <c r="X25" i="10"/>
  <c r="U25" i="10"/>
  <c r="S25" i="10"/>
  <c r="BY25" i="10" s="1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B24" i="10"/>
  <c r="AA24" i="10"/>
  <c r="Z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J20" i="10"/>
  <c r="BY20" i="10" s="1"/>
  <c r="L19" i="10"/>
  <c r="BX18" i="10"/>
  <c r="BW18" i="10"/>
  <c r="BV18" i="10"/>
  <c r="BU18" i="10"/>
  <c r="BT18" i="10"/>
  <c r="BS18" i="10"/>
  <c r="BS81" i="10" s="1"/>
  <c r="BR18" i="10"/>
  <c r="BR81" i="10" s="1"/>
  <c r="BQ18" i="10"/>
  <c r="BP18" i="10"/>
  <c r="BO18" i="10"/>
  <c r="BN18" i="10"/>
  <c r="BM18" i="10"/>
  <c r="BL18" i="10"/>
  <c r="BK18" i="10"/>
  <c r="BK81" i="10" s="1"/>
  <c r="BJ18" i="10"/>
  <c r="BJ81" i="10" s="1"/>
  <c r="BI18" i="10"/>
  <c r="BH18" i="10"/>
  <c r="BG18" i="10"/>
  <c r="BF18" i="10"/>
  <c r="BE18" i="10"/>
  <c r="BD18" i="10"/>
  <c r="BC18" i="10"/>
  <c r="BC81" i="10" s="1"/>
  <c r="BB18" i="10"/>
  <c r="BB81" i="10" s="1"/>
  <c r="BA18" i="10"/>
  <c r="AZ18" i="10"/>
  <c r="AY18" i="10"/>
  <c r="AX18" i="10"/>
  <c r="AW18" i="10"/>
  <c r="AV18" i="10"/>
  <c r="AU18" i="10"/>
  <c r="AU81" i="10" s="1"/>
  <c r="AT18" i="10"/>
  <c r="AT81" i="10" s="1"/>
  <c r="AS18" i="10"/>
  <c r="AR18" i="10"/>
  <c r="AQ18" i="10"/>
  <c r="AP18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T18" i="10"/>
  <c r="R18" i="10"/>
  <c r="Q18" i="10"/>
  <c r="P18" i="10"/>
  <c r="P81" i="10" s="1"/>
  <c r="O18" i="10"/>
  <c r="N18" i="10"/>
  <c r="M18" i="10"/>
  <c r="M81" i="10" s="1"/>
  <c r="L18" i="10"/>
  <c r="K18" i="10"/>
  <c r="I18" i="10"/>
  <c r="H18" i="10"/>
  <c r="H81" i="10" s="1"/>
  <c r="G18" i="10"/>
  <c r="F18" i="10"/>
  <c r="E18" i="10"/>
  <c r="E81" i="10" s="1"/>
  <c r="E82" i="10" s="1"/>
  <c r="BX17" i="10"/>
  <c r="BW17" i="10"/>
  <c r="BV17" i="10"/>
  <c r="BU17" i="10"/>
  <c r="BT17" i="10"/>
  <c r="BS17" i="10"/>
  <c r="BR17" i="10"/>
  <c r="BQ17" i="10"/>
  <c r="BP17" i="10"/>
  <c r="BO17" i="10"/>
  <c r="BN17" i="10"/>
  <c r="BM17" i="10"/>
  <c r="BL17" i="10"/>
  <c r="BK17" i="10"/>
  <c r="BJ17" i="10"/>
  <c r="BI17" i="10"/>
  <c r="BH17" i="10"/>
  <c r="BG17" i="10"/>
  <c r="BF17" i="10"/>
  <c r="BE17" i="10"/>
  <c r="BD17" i="10"/>
  <c r="BC17" i="10"/>
  <c r="BB17" i="10"/>
  <c r="BA17" i="10"/>
  <c r="AZ17" i="10"/>
  <c r="AY17" i="10"/>
  <c r="AX17" i="10"/>
  <c r="AW17" i="10"/>
  <c r="AV17" i="10"/>
  <c r="AU17" i="10"/>
  <c r="AT17" i="10"/>
  <c r="AS17" i="10"/>
  <c r="AR17" i="10"/>
  <c r="AQ17" i="10"/>
  <c r="AP17" i="10"/>
  <c r="J17" i="10"/>
  <c r="I17" i="10"/>
  <c r="H17" i="10"/>
  <c r="G17" i="10"/>
  <c r="F17" i="10"/>
  <c r="E17" i="10"/>
  <c r="AG16" i="10"/>
  <c r="K16" i="10"/>
  <c r="R14" i="10"/>
  <c r="T15" i="10" s="1"/>
  <c r="O14" i="10"/>
  <c r="N14" i="10"/>
  <c r="N17" i="10" s="1"/>
  <c r="M14" i="10"/>
  <c r="BY11" i="10"/>
  <c r="AN10" i="10"/>
  <c r="AM10" i="10"/>
  <c r="AL10" i="10"/>
  <c r="AK10" i="10"/>
  <c r="AJ10" i="10"/>
  <c r="AI10" i="10"/>
  <c r="BY9" i="10"/>
  <c r="BY8" i="10"/>
  <c r="CD8" i="10" s="1"/>
  <c r="CD52" i="10" s="1"/>
  <c r="BY7" i="10"/>
  <c r="CD7" i="10" s="1"/>
  <c r="AL6" i="10"/>
  <c r="AK6" i="10"/>
  <c r="AJ6" i="10"/>
  <c r="AI6" i="10"/>
  <c r="AH6" i="10"/>
  <c r="AG6" i="10"/>
  <c r="AF6" i="10"/>
  <c r="AE6" i="10"/>
  <c r="AD6" i="10"/>
  <c r="AC6" i="10"/>
  <c r="AB6" i="10"/>
  <c r="V6" i="10"/>
  <c r="R6" i="10"/>
  <c r="Q6" i="10"/>
  <c r="Z5" i="10"/>
  <c r="O5" i="10"/>
  <c r="L5" i="10"/>
  <c r="K5" i="10"/>
  <c r="D118" i="9"/>
  <c r="BX116" i="9"/>
  <c r="BW116" i="9"/>
  <c r="BV116" i="9"/>
  <c r="BU116" i="9"/>
  <c r="BT116" i="9"/>
  <c r="BS116" i="9"/>
  <c r="BR116" i="9"/>
  <c r="BQ116" i="9"/>
  <c r="BP116" i="9"/>
  <c r="BO116" i="9"/>
  <c r="BN116" i="9"/>
  <c r="BM116" i="9"/>
  <c r="BL116" i="9"/>
  <c r="BK116" i="9"/>
  <c r="BJ116" i="9"/>
  <c r="BI116" i="9"/>
  <c r="BH116" i="9"/>
  <c r="BG116" i="9"/>
  <c r="BF116" i="9"/>
  <c r="BE116" i="9"/>
  <c r="BD116" i="9"/>
  <c r="BC116" i="9"/>
  <c r="BB116" i="9"/>
  <c r="BA116" i="9"/>
  <c r="AZ116" i="9"/>
  <c r="AY116" i="9"/>
  <c r="AX116" i="9"/>
  <c r="AW116" i="9"/>
  <c r="AV116" i="9"/>
  <c r="AU116" i="9"/>
  <c r="AT116" i="9"/>
  <c r="AS116" i="9"/>
  <c r="AR116" i="9"/>
  <c r="AQ116" i="9"/>
  <c r="AP116" i="9"/>
  <c r="AO116" i="9"/>
  <c r="AN116" i="9"/>
  <c r="AI116" i="9"/>
  <c r="AH116" i="9"/>
  <c r="AG116" i="9"/>
  <c r="AF116" i="9"/>
  <c r="AE116" i="9"/>
  <c r="AD116" i="9"/>
  <c r="AC116" i="9"/>
  <c r="AB116" i="9"/>
  <c r="AA116" i="9"/>
  <c r="Z116" i="9"/>
  <c r="Y116" i="9"/>
  <c r="X116" i="9"/>
  <c r="W116" i="9"/>
  <c r="V116" i="9"/>
  <c r="U116" i="9"/>
  <c r="T116" i="9"/>
  <c r="S116" i="9"/>
  <c r="R116" i="9"/>
  <c r="Q116" i="9"/>
  <c r="P116" i="9"/>
  <c r="O116" i="9"/>
  <c r="N116" i="9"/>
  <c r="M116" i="9"/>
  <c r="L116" i="9"/>
  <c r="K116" i="9"/>
  <c r="J116" i="9"/>
  <c r="I116" i="9"/>
  <c r="H116" i="9"/>
  <c r="G116" i="9"/>
  <c r="F116" i="9"/>
  <c r="E116" i="9"/>
  <c r="BX114" i="9"/>
  <c r="BW114" i="9"/>
  <c r="BW119" i="9" s="1"/>
  <c r="BV114" i="9"/>
  <c r="BV119" i="9" s="1"/>
  <c r="BU114" i="9"/>
  <c r="BU119" i="9" s="1"/>
  <c r="BT114" i="9"/>
  <c r="BT119" i="9" s="1"/>
  <c r="BS114" i="9"/>
  <c r="BS119" i="9" s="1"/>
  <c r="BR114" i="9"/>
  <c r="BR119" i="9" s="1"/>
  <c r="BQ114" i="9"/>
  <c r="BQ119" i="9" s="1"/>
  <c r="BP114" i="9"/>
  <c r="BP119" i="9" s="1"/>
  <c r="BO114" i="9"/>
  <c r="BO119" i="9" s="1"/>
  <c r="BN114" i="9"/>
  <c r="BN119" i="9" s="1"/>
  <c r="BM114" i="9"/>
  <c r="BM119" i="9" s="1"/>
  <c r="BL114" i="9"/>
  <c r="BL119" i="9" s="1"/>
  <c r="BK114" i="9"/>
  <c r="BK119" i="9" s="1"/>
  <c r="BJ114" i="9"/>
  <c r="BJ119" i="9" s="1"/>
  <c r="BI114" i="9"/>
  <c r="BI119" i="9" s="1"/>
  <c r="BH114" i="9"/>
  <c r="BH119" i="9" s="1"/>
  <c r="BG114" i="9"/>
  <c r="BG119" i="9" s="1"/>
  <c r="BF114" i="9"/>
  <c r="BF119" i="9" s="1"/>
  <c r="BE114" i="9"/>
  <c r="BE119" i="9" s="1"/>
  <c r="BD114" i="9"/>
  <c r="BD119" i="9" s="1"/>
  <c r="BC114" i="9"/>
  <c r="BC119" i="9" s="1"/>
  <c r="BB114" i="9"/>
  <c r="BB119" i="9" s="1"/>
  <c r="BA114" i="9"/>
  <c r="BA119" i="9" s="1"/>
  <c r="AZ114" i="9"/>
  <c r="AZ119" i="9" s="1"/>
  <c r="AY114" i="9"/>
  <c r="AY119" i="9" s="1"/>
  <c r="AX114" i="9"/>
  <c r="AX119" i="9" s="1"/>
  <c r="AW114" i="9"/>
  <c r="AW119" i="9" s="1"/>
  <c r="AV114" i="9"/>
  <c r="AV119" i="9" s="1"/>
  <c r="AU114" i="9"/>
  <c r="AU119" i="9" s="1"/>
  <c r="AT114" i="9"/>
  <c r="AT119" i="9" s="1"/>
  <c r="AS114" i="9"/>
  <c r="AS119" i="9" s="1"/>
  <c r="AR114" i="9"/>
  <c r="AR119" i="9" s="1"/>
  <c r="AQ114" i="9"/>
  <c r="AQ119" i="9" s="1"/>
  <c r="AP114" i="9"/>
  <c r="AP119" i="9" s="1"/>
  <c r="AO114" i="9"/>
  <c r="AO119" i="9" s="1"/>
  <c r="AN114" i="9"/>
  <c r="AN119" i="9" s="1"/>
  <c r="AI114" i="9"/>
  <c r="AI119" i="9" s="1"/>
  <c r="AE114" i="9"/>
  <c r="AE119" i="9" s="1"/>
  <c r="AD114" i="9"/>
  <c r="AD119" i="9" s="1"/>
  <c r="AC114" i="9"/>
  <c r="AC119" i="9" s="1"/>
  <c r="AA114" i="9"/>
  <c r="AA119" i="9" s="1"/>
  <c r="Z114" i="9"/>
  <c r="Z119" i="9" s="1"/>
  <c r="X114" i="9"/>
  <c r="X119" i="9" s="1"/>
  <c r="W114" i="9"/>
  <c r="W119" i="9" s="1"/>
  <c r="V114" i="9"/>
  <c r="V119" i="9" s="1"/>
  <c r="U114" i="9"/>
  <c r="U119" i="9" s="1"/>
  <c r="T114" i="9"/>
  <c r="T119" i="9" s="1"/>
  <c r="S114" i="9"/>
  <c r="S119" i="9" s="1"/>
  <c r="P114" i="9"/>
  <c r="P119" i="9" s="1"/>
  <c r="O114" i="9"/>
  <c r="O119" i="9" s="1"/>
  <c r="N114" i="9"/>
  <c r="N119" i="9" s="1"/>
  <c r="M114" i="9"/>
  <c r="M119" i="9" s="1"/>
  <c r="L114" i="9"/>
  <c r="L119" i="9" s="1"/>
  <c r="K114" i="9"/>
  <c r="K119" i="9" s="1"/>
  <c r="J114" i="9"/>
  <c r="J119" i="9" s="1"/>
  <c r="I114" i="9"/>
  <c r="I119" i="9" s="1"/>
  <c r="H114" i="9"/>
  <c r="H119" i="9" s="1"/>
  <c r="G114" i="9"/>
  <c r="G119" i="9" s="1"/>
  <c r="F114" i="9"/>
  <c r="F119" i="9" s="1"/>
  <c r="E114" i="9"/>
  <c r="E119" i="9" s="1"/>
  <c r="E120" i="9" s="1"/>
  <c r="BX100" i="9"/>
  <c r="BW100" i="9"/>
  <c r="BV100" i="9"/>
  <c r="BU100" i="9"/>
  <c r="BT100" i="9"/>
  <c r="BS100" i="9"/>
  <c r="BR100" i="9"/>
  <c r="BQ100" i="9"/>
  <c r="BP100" i="9"/>
  <c r="BO100" i="9"/>
  <c r="BN100" i="9"/>
  <c r="BM100" i="9"/>
  <c r="BL100" i="9"/>
  <c r="BK100" i="9"/>
  <c r="BJ100" i="9"/>
  <c r="BI100" i="9"/>
  <c r="BH100" i="9"/>
  <c r="BG100" i="9"/>
  <c r="BF100" i="9"/>
  <c r="BE100" i="9"/>
  <c r="BD100" i="9"/>
  <c r="BC100" i="9"/>
  <c r="BB100" i="9"/>
  <c r="BA100" i="9"/>
  <c r="AZ100" i="9"/>
  <c r="AY100" i="9"/>
  <c r="AX100" i="9"/>
  <c r="AW100" i="9"/>
  <c r="AV100" i="9"/>
  <c r="AU100" i="9"/>
  <c r="AT100" i="9"/>
  <c r="AS100" i="9"/>
  <c r="AR100" i="9"/>
  <c r="AQ100" i="9"/>
  <c r="AP100" i="9"/>
  <c r="AO100" i="9"/>
  <c r="AN100" i="9"/>
  <c r="AI100" i="9"/>
  <c r="AH100" i="9"/>
  <c r="AG100" i="9"/>
  <c r="AF100" i="9"/>
  <c r="AE100" i="9"/>
  <c r="AD100" i="9"/>
  <c r="AC100" i="9"/>
  <c r="AB100" i="9"/>
  <c r="AA100" i="9"/>
  <c r="Z100" i="9"/>
  <c r="Y100" i="9"/>
  <c r="X100" i="9"/>
  <c r="W100" i="9"/>
  <c r="V100" i="9"/>
  <c r="U100" i="9"/>
  <c r="T100" i="9"/>
  <c r="S100" i="9"/>
  <c r="R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BX98" i="9"/>
  <c r="BW98" i="9"/>
  <c r="BW104" i="9" s="1"/>
  <c r="BV98" i="9"/>
  <c r="BV104" i="9" s="1"/>
  <c r="BU98" i="9"/>
  <c r="BU104" i="9" s="1"/>
  <c r="BT98" i="9"/>
  <c r="BT104" i="9" s="1"/>
  <c r="BS98" i="9"/>
  <c r="BS104" i="9" s="1"/>
  <c r="BR98" i="9"/>
  <c r="BR104" i="9" s="1"/>
  <c r="BQ98" i="9"/>
  <c r="BQ104" i="9" s="1"/>
  <c r="BP98" i="9"/>
  <c r="BP104" i="9" s="1"/>
  <c r="BO98" i="9"/>
  <c r="BO104" i="9" s="1"/>
  <c r="BN98" i="9"/>
  <c r="BN104" i="9" s="1"/>
  <c r="BM98" i="9"/>
  <c r="BM104" i="9" s="1"/>
  <c r="BL98" i="9"/>
  <c r="BL104" i="9" s="1"/>
  <c r="BK98" i="9"/>
  <c r="BK104" i="9" s="1"/>
  <c r="BJ98" i="9"/>
  <c r="BJ104" i="9" s="1"/>
  <c r="BI98" i="9"/>
  <c r="BI104" i="9" s="1"/>
  <c r="BH98" i="9"/>
  <c r="BH104" i="9" s="1"/>
  <c r="BG98" i="9"/>
  <c r="BG104" i="9" s="1"/>
  <c r="BF98" i="9"/>
  <c r="BF104" i="9" s="1"/>
  <c r="BE98" i="9"/>
  <c r="BE104" i="9" s="1"/>
  <c r="BD98" i="9"/>
  <c r="BD104" i="9" s="1"/>
  <c r="BC98" i="9"/>
  <c r="BC104" i="9" s="1"/>
  <c r="BB98" i="9"/>
  <c r="BB104" i="9" s="1"/>
  <c r="BA98" i="9"/>
  <c r="BA104" i="9" s="1"/>
  <c r="AZ98" i="9"/>
  <c r="AZ104" i="9" s="1"/>
  <c r="AY98" i="9"/>
  <c r="AY104" i="9" s="1"/>
  <c r="AX98" i="9"/>
  <c r="AX104" i="9" s="1"/>
  <c r="AW98" i="9"/>
  <c r="AW104" i="9" s="1"/>
  <c r="AV98" i="9"/>
  <c r="AV104" i="9" s="1"/>
  <c r="AU98" i="9"/>
  <c r="AU104" i="9" s="1"/>
  <c r="AT98" i="9"/>
  <c r="AT104" i="9" s="1"/>
  <c r="AS98" i="9"/>
  <c r="AS104" i="9" s="1"/>
  <c r="AR98" i="9"/>
  <c r="AR104" i="9" s="1"/>
  <c r="AQ98" i="9"/>
  <c r="AQ104" i="9" s="1"/>
  <c r="AP98" i="9"/>
  <c r="AP104" i="9" s="1"/>
  <c r="AO98" i="9"/>
  <c r="AO104" i="9" s="1"/>
  <c r="AN98" i="9"/>
  <c r="AN104" i="9" s="1"/>
  <c r="AL98" i="9"/>
  <c r="AK98" i="9"/>
  <c r="AI98" i="9"/>
  <c r="AI104" i="9" s="1"/>
  <c r="AH98" i="9"/>
  <c r="AH104" i="9" s="1"/>
  <c r="AG98" i="9"/>
  <c r="AG104" i="9" s="1"/>
  <c r="AF98" i="9"/>
  <c r="AF104" i="9" s="1"/>
  <c r="AE98" i="9"/>
  <c r="AE104" i="9" s="1"/>
  <c r="AD98" i="9"/>
  <c r="AD104" i="9" s="1"/>
  <c r="AC98" i="9"/>
  <c r="AC104" i="9" s="1"/>
  <c r="AB98" i="9"/>
  <c r="AB104" i="9" s="1"/>
  <c r="AA98" i="9"/>
  <c r="AA104" i="9" s="1"/>
  <c r="Z98" i="9"/>
  <c r="Z104" i="9" s="1"/>
  <c r="Y98" i="9"/>
  <c r="Y104" i="9" s="1"/>
  <c r="T98" i="9"/>
  <c r="T104" i="9" s="1"/>
  <c r="S98" i="9"/>
  <c r="S104" i="9" s="1"/>
  <c r="R98" i="9"/>
  <c r="R104" i="9" s="1"/>
  <c r="P98" i="9"/>
  <c r="P104" i="9" s="1"/>
  <c r="N98" i="9"/>
  <c r="N104" i="9" s="1"/>
  <c r="M98" i="9"/>
  <c r="M104" i="9" s="1"/>
  <c r="J98" i="9"/>
  <c r="J104" i="9" s="1"/>
  <c r="I98" i="9"/>
  <c r="I104" i="9" s="1"/>
  <c r="H98" i="9"/>
  <c r="H104" i="9" s="1"/>
  <c r="G98" i="9"/>
  <c r="G104" i="9" s="1"/>
  <c r="F98" i="9"/>
  <c r="F104" i="9" s="1"/>
  <c r="E98" i="9"/>
  <c r="E104" i="9" s="1"/>
  <c r="E105" i="9" s="1"/>
  <c r="BW90" i="9"/>
  <c r="BV90" i="9"/>
  <c r="BU90" i="9"/>
  <c r="BT90" i="9"/>
  <c r="BS90" i="9"/>
  <c r="BR90" i="9"/>
  <c r="BQ90" i="9"/>
  <c r="BP90" i="9"/>
  <c r="BO90" i="9"/>
  <c r="BN90" i="9"/>
  <c r="BM90" i="9"/>
  <c r="BL90" i="9"/>
  <c r="BK90" i="9"/>
  <c r="BJ90" i="9"/>
  <c r="BI90" i="9"/>
  <c r="BH90" i="9"/>
  <c r="BG90" i="9"/>
  <c r="BF90" i="9"/>
  <c r="BE90" i="9"/>
  <c r="BD90" i="9"/>
  <c r="BC90" i="9"/>
  <c r="BB90" i="9"/>
  <c r="BA90" i="9"/>
  <c r="AZ90" i="9"/>
  <c r="AY90" i="9"/>
  <c r="AX90" i="9"/>
  <c r="AW90" i="9"/>
  <c r="AV90" i="9"/>
  <c r="AU90" i="9"/>
  <c r="AT90" i="9"/>
  <c r="AS90" i="9"/>
  <c r="AR90" i="9"/>
  <c r="AQ90" i="9"/>
  <c r="AP90" i="9"/>
  <c r="AO90" i="9"/>
  <c r="AN90" i="9"/>
  <c r="AL90" i="9"/>
  <c r="AK90" i="9"/>
  <c r="AI90" i="9"/>
  <c r="AE90" i="9"/>
  <c r="AD90" i="9"/>
  <c r="AC90" i="9"/>
  <c r="AA90" i="9"/>
  <c r="Z90" i="9"/>
  <c r="T90" i="9"/>
  <c r="S90" i="9"/>
  <c r="P90" i="9"/>
  <c r="N90" i="9"/>
  <c r="M90" i="9"/>
  <c r="J90" i="9"/>
  <c r="I90" i="9"/>
  <c r="H90" i="9"/>
  <c r="G90" i="9"/>
  <c r="F90" i="9"/>
  <c r="E90" i="9"/>
  <c r="BY80" i="9"/>
  <c r="R79" i="9"/>
  <c r="BY79" i="9" s="1"/>
  <c r="BY78" i="9"/>
  <c r="BY77" i="9"/>
  <c r="Q75" i="9"/>
  <c r="BX74" i="9"/>
  <c r="BW74" i="9"/>
  <c r="BV74" i="9"/>
  <c r="BU74" i="9"/>
  <c r="BT74" i="9"/>
  <c r="BS74" i="9"/>
  <c r="BR74" i="9"/>
  <c r="BQ74" i="9"/>
  <c r="BP74" i="9"/>
  <c r="BO74" i="9"/>
  <c r="BN74" i="9"/>
  <c r="BM74" i="9"/>
  <c r="BL74" i="9"/>
  <c r="BK74" i="9"/>
  <c r="BJ74" i="9"/>
  <c r="BI74" i="9"/>
  <c r="BH74" i="9"/>
  <c r="BG74" i="9"/>
  <c r="BF74" i="9"/>
  <c r="BE74" i="9"/>
  <c r="BD74" i="9"/>
  <c r="BC74" i="9"/>
  <c r="BB74" i="9"/>
  <c r="BA74" i="9"/>
  <c r="AZ74" i="9"/>
  <c r="AY74" i="9"/>
  <c r="AX74" i="9"/>
  <c r="AW74" i="9"/>
  <c r="AV74" i="9"/>
  <c r="AU74" i="9"/>
  <c r="AT74" i="9"/>
  <c r="AS74" i="9"/>
  <c r="AR74" i="9"/>
  <c r="AQ74" i="9"/>
  <c r="AP74" i="9"/>
  <c r="AO74" i="9"/>
  <c r="AN74" i="9"/>
  <c r="AI74" i="9"/>
  <c r="AH74" i="9"/>
  <c r="AG74" i="9"/>
  <c r="AF74" i="9"/>
  <c r="AE74" i="9"/>
  <c r="AD74" i="9"/>
  <c r="AC74" i="9"/>
  <c r="AB74" i="9"/>
  <c r="AA74" i="9"/>
  <c r="Z74" i="9"/>
  <c r="Y74" i="9"/>
  <c r="X74" i="9"/>
  <c r="W74" i="9"/>
  <c r="V74" i="9"/>
  <c r="U74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BY73" i="9"/>
  <c r="BY72" i="9"/>
  <c r="BY71" i="9"/>
  <c r="BX71" i="9"/>
  <c r="BW71" i="9"/>
  <c r="BV71" i="9"/>
  <c r="BU71" i="9"/>
  <c r="BT71" i="9"/>
  <c r="BS71" i="9"/>
  <c r="BR71" i="9"/>
  <c r="BQ71" i="9"/>
  <c r="BP71" i="9"/>
  <c r="BO71" i="9"/>
  <c r="BN71" i="9"/>
  <c r="BM71" i="9"/>
  <c r="BL71" i="9"/>
  <c r="BK71" i="9"/>
  <c r="BJ71" i="9"/>
  <c r="BI71" i="9"/>
  <c r="BH71" i="9"/>
  <c r="BG71" i="9"/>
  <c r="BF71" i="9"/>
  <c r="BE71" i="9"/>
  <c r="BD71" i="9"/>
  <c r="BC71" i="9"/>
  <c r="BB71" i="9"/>
  <c r="BA71" i="9"/>
  <c r="AZ71" i="9"/>
  <c r="AY71" i="9"/>
  <c r="AX71" i="9"/>
  <c r="AW71" i="9"/>
  <c r="AV71" i="9"/>
  <c r="AU71" i="9"/>
  <c r="AT71" i="9"/>
  <c r="AS71" i="9"/>
  <c r="AR71" i="9"/>
  <c r="AQ71" i="9"/>
  <c r="AP71" i="9"/>
  <c r="AO71" i="9"/>
  <c r="AN71" i="9"/>
  <c r="AM71" i="9"/>
  <c r="AL71" i="9"/>
  <c r="AK71" i="9"/>
  <c r="AJ71" i="9"/>
  <c r="AI71" i="9"/>
  <c r="AH71" i="9"/>
  <c r="AG71" i="9"/>
  <c r="AF71" i="9"/>
  <c r="AE71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BY69" i="9"/>
  <c r="BY68" i="9"/>
  <c r="BY67" i="9"/>
  <c r="BY66" i="9"/>
  <c r="BY65" i="9"/>
  <c r="BX63" i="9"/>
  <c r="BW63" i="9"/>
  <c r="BV63" i="9"/>
  <c r="BU63" i="9"/>
  <c r="BT63" i="9"/>
  <c r="BS63" i="9"/>
  <c r="BR63" i="9"/>
  <c r="BQ63" i="9"/>
  <c r="BP63" i="9"/>
  <c r="BO63" i="9"/>
  <c r="BN63" i="9"/>
  <c r="BM63" i="9"/>
  <c r="BL63" i="9"/>
  <c r="BK63" i="9"/>
  <c r="BJ63" i="9"/>
  <c r="BI63" i="9"/>
  <c r="BH63" i="9"/>
  <c r="BG63" i="9"/>
  <c r="BF63" i="9"/>
  <c r="BE63" i="9"/>
  <c r="BD63" i="9"/>
  <c r="BC63" i="9"/>
  <c r="BB63" i="9"/>
  <c r="BA63" i="9"/>
  <c r="AZ63" i="9"/>
  <c r="AY63" i="9"/>
  <c r="AX63" i="9"/>
  <c r="AW63" i="9"/>
  <c r="AV63" i="9"/>
  <c r="AU63" i="9"/>
  <c r="AT63" i="9"/>
  <c r="AS63" i="9"/>
  <c r="AR63" i="9"/>
  <c r="AQ63" i="9"/>
  <c r="AP63" i="9"/>
  <c r="AO63" i="9"/>
  <c r="AN63" i="9"/>
  <c r="AH63" i="9"/>
  <c r="AG63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AH62" i="9"/>
  <c r="AH10" i="9" s="1"/>
  <c r="AG62" i="9"/>
  <c r="AG10" i="9" s="1"/>
  <c r="AF62" i="9"/>
  <c r="AF10" i="9" s="1"/>
  <c r="AE62" i="9"/>
  <c r="AE10" i="9" s="1"/>
  <c r="AD62" i="9"/>
  <c r="AD10" i="9" s="1"/>
  <c r="AC62" i="9"/>
  <c r="AB62" i="9"/>
  <c r="AA62" i="9"/>
  <c r="BY61" i="9"/>
  <c r="D61" i="9"/>
  <c r="BY60" i="9"/>
  <c r="BY59" i="9"/>
  <c r="BY58" i="9"/>
  <c r="Q56" i="9"/>
  <c r="BX55" i="9"/>
  <c r="BW55" i="9"/>
  <c r="BV55" i="9"/>
  <c r="BU55" i="9"/>
  <c r="BT55" i="9"/>
  <c r="BS55" i="9"/>
  <c r="BR55" i="9"/>
  <c r="BQ55" i="9"/>
  <c r="BP55" i="9"/>
  <c r="BO55" i="9"/>
  <c r="BN55" i="9"/>
  <c r="BM55" i="9"/>
  <c r="BL55" i="9"/>
  <c r="BK55" i="9"/>
  <c r="BJ55" i="9"/>
  <c r="BI55" i="9"/>
  <c r="BH55" i="9"/>
  <c r="BG55" i="9"/>
  <c r="BF55" i="9"/>
  <c r="BE55" i="9"/>
  <c r="BD55" i="9"/>
  <c r="BC55" i="9"/>
  <c r="BB55" i="9"/>
  <c r="BA55" i="9"/>
  <c r="AZ55" i="9"/>
  <c r="AY55" i="9"/>
  <c r="AX55" i="9"/>
  <c r="AW55" i="9"/>
  <c r="AV55" i="9"/>
  <c r="AU55" i="9"/>
  <c r="AT55" i="9"/>
  <c r="AS55" i="9"/>
  <c r="AR55" i="9"/>
  <c r="AQ55" i="9"/>
  <c r="AP55" i="9"/>
  <c r="AO55" i="9"/>
  <c r="AN55" i="9"/>
  <c r="AH55" i="9"/>
  <c r="AG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BY54" i="9"/>
  <c r="AJ53" i="9"/>
  <c r="AJ49" i="9" s="1"/>
  <c r="AI53" i="9"/>
  <c r="AH53" i="9"/>
  <c r="AG53" i="9"/>
  <c r="AF53" i="9"/>
  <c r="AE53" i="9"/>
  <c r="AD53" i="9"/>
  <c r="AC53" i="9"/>
  <c r="V53" i="9"/>
  <c r="U53" i="9"/>
  <c r="T53" i="9"/>
  <c r="S53" i="9"/>
  <c r="R53" i="9"/>
  <c r="Q53" i="9"/>
  <c r="P53" i="9"/>
  <c r="O53" i="9"/>
  <c r="N53" i="9"/>
  <c r="M53" i="9"/>
  <c r="L53" i="9"/>
  <c r="K53" i="9"/>
  <c r="BY53" i="9" s="1"/>
  <c r="BY52" i="9"/>
  <c r="BY51" i="9"/>
  <c r="BX49" i="9"/>
  <c r="BW49" i="9"/>
  <c r="BV49" i="9"/>
  <c r="BU49" i="9"/>
  <c r="BT49" i="9"/>
  <c r="BS49" i="9"/>
  <c r="BR49" i="9"/>
  <c r="BQ49" i="9"/>
  <c r="BP49" i="9"/>
  <c r="BO49" i="9"/>
  <c r="BN49" i="9"/>
  <c r="BM49" i="9"/>
  <c r="BL49" i="9"/>
  <c r="BK49" i="9"/>
  <c r="BJ49" i="9"/>
  <c r="BI49" i="9"/>
  <c r="BH49" i="9"/>
  <c r="BG49" i="9"/>
  <c r="BF49" i="9"/>
  <c r="BE49" i="9"/>
  <c r="BD49" i="9"/>
  <c r="BC49" i="9"/>
  <c r="BB49" i="9"/>
  <c r="BA49" i="9"/>
  <c r="AZ49" i="9"/>
  <c r="AY49" i="9"/>
  <c r="AX49" i="9"/>
  <c r="AW49" i="9"/>
  <c r="AV49" i="9"/>
  <c r="AU49" i="9"/>
  <c r="AT49" i="9"/>
  <c r="AS49" i="9"/>
  <c r="AR49" i="9"/>
  <c r="AQ49" i="9"/>
  <c r="AP49" i="9"/>
  <c r="AO49" i="9"/>
  <c r="AN49" i="9"/>
  <c r="AM49" i="9"/>
  <c r="AL49" i="9"/>
  <c r="AK49" i="9"/>
  <c r="AI49" i="9"/>
  <c r="AH49" i="9"/>
  <c r="AG49" i="9"/>
  <c r="AF49" i="9"/>
  <c r="AE49" i="9"/>
  <c r="AD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BY47" i="9"/>
  <c r="BY46" i="9"/>
  <c r="S45" i="9"/>
  <c r="R45" i="9"/>
  <c r="Q45" i="9"/>
  <c r="P45" i="9"/>
  <c r="O45" i="9"/>
  <c r="N45" i="9"/>
  <c r="L45" i="9"/>
  <c r="I45" i="9"/>
  <c r="V44" i="9"/>
  <c r="U44" i="9"/>
  <c r="S44" i="9"/>
  <c r="R44" i="9"/>
  <c r="P44" i="9"/>
  <c r="O44" i="9"/>
  <c r="N44" i="9"/>
  <c r="L44" i="9"/>
  <c r="BY43" i="9"/>
  <c r="BY42" i="9"/>
  <c r="Z41" i="9"/>
  <c r="Y41" i="9"/>
  <c r="X41" i="9"/>
  <c r="W41" i="9"/>
  <c r="V41" i="9"/>
  <c r="U41" i="9"/>
  <c r="T41" i="9"/>
  <c r="S41" i="9"/>
  <c r="R41" i="9"/>
  <c r="BY41" i="9" s="1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BY40" i="9" s="1"/>
  <c r="BX39" i="9"/>
  <c r="BW39" i="9"/>
  <c r="BV39" i="9"/>
  <c r="BU39" i="9"/>
  <c r="BT39" i="9"/>
  <c r="BS39" i="9"/>
  <c r="BR39" i="9"/>
  <c r="BQ39" i="9"/>
  <c r="BP39" i="9"/>
  <c r="BO39" i="9"/>
  <c r="BN39" i="9"/>
  <c r="BM39" i="9"/>
  <c r="BL39" i="9"/>
  <c r="BK39" i="9"/>
  <c r="BJ39" i="9"/>
  <c r="BI39" i="9"/>
  <c r="BH39" i="9"/>
  <c r="BG39" i="9"/>
  <c r="BF39" i="9"/>
  <c r="BE39" i="9"/>
  <c r="BD39" i="9"/>
  <c r="BC39" i="9"/>
  <c r="BB39" i="9"/>
  <c r="BA39" i="9"/>
  <c r="AZ39" i="9"/>
  <c r="AY39" i="9"/>
  <c r="AX39" i="9"/>
  <c r="AW39" i="9"/>
  <c r="AV39" i="9"/>
  <c r="AU39" i="9"/>
  <c r="AT39" i="9"/>
  <c r="AS39" i="9"/>
  <c r="AR39" i="9"/>
  <c r="AQ39" i="9"/>
  <c r="AP39" i="9"/>
  <c r="AO39" i="9"/>
  <c r="AN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BY38" i="9"/>
  <c r="BX36" i="9"/>
  <c r="BW36" i="9"/>
  <c r="BV36" i="9"/>
  <c r="BU36" i="9"/>
  <c r="BT36" i="9"/>
  <c r="BS36" i="9"/>
  <c r="BR36" i="9"/>
  <c r="BQ36" i="9"/>
  <c r="BP36" i="9"/>
  <c r="BO36" i="9"/>
  <c r="BN36" i="9"/>
  <c r="BM36" i="9"/>
  <c r="BL36" i="9"/>
  <c r="BK36" i="9"/>
  <c r="BJ36" i="9"/>
  <c r="BI36" i="9"/>
  <c r="BH36" i="9"/>
  <c r="BG36" i="9"/>
  <c r="BF36" i="9"/>
  <c r="BE36" i="9"/>
  <c r="BD36" i="9"/>
  <c r="BC36" i="9"/>
  <c r="BB36" i="9"/>
  <c r="BA36" i="9"/>
  <c r="AZ36" i="9"/>
  <c r="AY36" i="9"/>
  <c r="AX36" i="9"/>
  <c r="AW36" i="9"/>
  <c r="AV36" i="9"/>
  <c r="AU36" i="9"/>
  <c r="AT36" i="9"/>
  <c r="AS36" i="9"/>
  <c r="AR36" i="9"/>
  <c r="AQ36" i="9"/>
  <c r="AP36" i="9"/>
  <c r="AO36" i="9"/>
  <c r="AN36" i="9"/>
  <c r="AM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BY35" i="9"/>
  <c r="BY34" i="9"/>
  <c r="BY33" i="9"/>
  <c r="V32" i="9"/>
  <c r="T32" i="9"/>
  <c r="BY31" i="9"/>
  <c r="BY30" i="9"/>
  <c r="BX28" i="9"/>
  <c r="BW28" i="9"/>
  <c r="BV28" i="9"/>
  <c r="BU28" i="9"/>
  <c r="BT28" i="9"/>
  <c r="BS28" i="9"/>
  <c r="BR28" i="9"/>
  <c r="BQ28" i="9"/>
  <c r="BP28" i="9"/>
  <c r="BO28" i="9"/>
  <c r="BN28" i="9"/>
  <c r="BM28" i="9"/>
  <c r="BL28" i="9"/>
  <c r="BK28" i="9"/>
  <c r="BJ28" i="9"/>
  <c r="BI28" i="9"/>
  <c r="BH28" i="9"/>
  <c r="BG28" i="9"/>
  <c r="BF28" i="9"/>
  <c r="BE28" i="9"/>
  <c r="BD28" i="9"/>
  <c r="BC28" i="9"/>
  <c r="BB28" i="9"/>
  <c r="BA28" i="9"/>
  <c r="AZ28" i="9"/>
  <c r="AY28" i="9"/>
  <c r="AX28" i="9"/>
  <c r="AW28" i="9"/>
  <c r="AV28" i="9"/>
  <c r="AU28" i="9"/>
  <c r="AT28" i="9"/>
  <c r="AS28" i="9"/>
  <c r="AR28" i="9"/>
  <c r="AQ28" i="9"/>
  <c r="AP28" i="9"/>
  <c r="AO28" i="9"/>
  <c r="AN28" i="9"/>
  <c r="AM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BY26" i="9"/>
  <c r="C26" i="9"/>
  <c r="W25" i="9"/>
  <c r="V25" i="9"/>
  <c r="T25" i="9"/>
  <c r="BY25" i="9" s="1"/>
  <c r="BX24" i="9"/>
  <c r="BW24" i="9"/>
  <c r="BV24" i="9"/>
  <c r="BU24" i="9"/>
  <c r="BT24" i="9"/>
  <c r="BS24" i="9"/>
  <c r="BR24" i="9"/>
  <c r="BQ24" i="9"/>
  <c r="BP24" i="9"/>
  <c r="BO24" i="9"/>
  <c r="BN24" i="9"/>
  <c r="BM24" i="9"/>
  <c r="BL24" i="9"/>
  <c r="BK24" i="9"/>
  <c r="BJ24" i="9"/>
  <c r="BI24" i="9"/>
  <c r="BH24" i="9"/>
  <c r="BG24" i="9"/>
  <c r="BF24" i="9"/>
  <c r="BE24" i="9"/>
  <c r="BD24" i="9"/>
  <c r="BC24" i="9"/>
  <c r="BB24" i="9"/>
  <c r="BA24" i="9"/>
  <c r="AZ24" i="9"/>
  <c r="AY24" i="9"/>
  <c r="AX24" i="9"/>
  <c r="AW24" i="9"/>
  <c r="AV24" i="9"/>
  <c r="AU24" i="9"/>
  <c r="AT24" i="9"/>
  <c r="AS24" i="9"/>
  <c r="AR24" i="9"/>
  <c r="AQ24" i="9"/>
  <c r="AP24" i="9"/>
  <c r="AO24" i="9"/>
  <c r="AN24" i="9"/>
  <c r="AM24" i="9"/>
  <c r="AL24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BY23" i="9"/>
  <c r="S22" i="9"/>
  <c r="BY22" i="9" s="1"/>
  <c r="S21" i="9"/>
  <c r="BY21" i="9" s="1"/>
  <c r="J20" i="9"/>
  <c r="BY20" i="9" s="1"/>
  <c r="L19" i="9"/>
  <c r="W19" i="9" s="1"/>
  <c r="BX18" i="9"/>
  <c r="BX82" i="9" s="1"/>
  <c r="BW18" i="9"/>
  <c r="BW82" i="9" s="1"/>
  <c r="BV18" i="9"/>
  <c r="BV82" i="9" s="1"/>
  <c r="BU18" i="9"/>
  <c r="BU82" i="9" s="1"/>
  <c r="BT18" i="9"/>
  <c r="BT82" i="9" s="1"/>
  <c r="BS18" i="9"/>
  <c r="BS82" i="9" s="1"/>
  <c r="BR18" i="9"/>
  <c r="BR82" i="9" s="1"/>
  <c r="BQ18" i="9"/>
  <c r="BQ82" i="9" s="1"/>
  <c r="BP18" i="9"/>
  <c r="BP82" i="9" s="1"/>
  <c r="BO18" i="9"/>
  <c r="BO82" i="9" s="1"/>
  <c r="BN18" i="9"/>
  <c r="BN82" i="9" s="1"/>
  <c r="BM18" i="9"/>
  <c r="BM82" i="9" s="1"/>
  <c r="BL18" i="9"/>
  <c r="BL82" i="9" s="1"/>
  <c r="BK18" i="9"/>
  <c r="BK82" i="9" s="1"/>
  <c r="BJ18" i="9"/>
  <c r="BJ82" i="9" s="1"/>
  <c r="BI18" i="9"/>
  <c r="BI82" i="9" s="1"/>
  <c r="BH18" i="9"/>
  <c r="BH82" i="9" s="1"/>
  <c r="BG18" i="9"/>
  <c r="BG82" i="9" s="1"/>
  <c r="BF18" i="9"/>
  <c r="BF82" i="9" s="1"/>
  <c r="BE18" i="9"/>
  <c r="BE82" i="9" s="1"/>
  <c r="BD18" i="9"/>
  <c r="BD82" i="9" s="1"/>
  <c r="BC18" i="9"/>
  <c r="BC82" i="9" s="1"/>
  <c r="BB18" i="9"/>
  <c r="BB82" i="9" s="1"/>
  <c r="BA18" i="9"/>
  <c r="BA82" i="9" s="1"/>
  <c r="AZ18" i="9"/>
  <c r="AZ82" i="9" s="1"/>
  <c r="AY18" i="9"/>
  <c r="AY82" i="9" s="1"/>
  <c r="AX18" i="9"/>
  <c r="AX82" i="9" s="1"/>
  <c r="AW18" i="9"/>
  <c r="AW82" i="9" s="1"/>
  <c r="AV18" i="9"/>
  <c r="AV82" i="9" s="1"/>
  <c r="AU18" i="9"/>
  <c r="AU82" i="9" s="1"/>
  <c r="AT18" i="9"/>
  <c r="AT82" i="9" s="1"/>
  <c r="AS18" i="9"/>
  <c r="AS82" i="9" s="1"/>
  <c r="AR18" i="9"/>
  <c r="AR82" i="9" s="1"/>
  <c r="AQ18" i="9"/>
  <c r="AQ82" i="9" s="1"/>
  <c r="AP18" i="9"/>
  <c r="AP82" i="9" s="1"/>
  <c r="AO18" i="9"/>
  <c r="AO82" i="9" s="1"/>
  <c r="AN18" i="9"/>
  <c r="AN82" i="9" s="1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V18" i="9"/>
  <c r="V82" i="9" s="1"/>
  <c r="U18" i="9"/>
  <c r="U82" i="9" s="1"/>
  <c r="T18" i="9"/>
  <c r="T82" i="9" s="1"/>
  <c r="S18" i="9"/>
  <c r="S82" i="9" s="1"/>
  <c r="R18" i="9"/>
  <c r="R82" i="9" s="1"/>
  <c r="Q18" i="9"/>
  <c r="Q82" i="9" s="1"/>
  <c r="P18" i="9"/>
  <c r="P82" i="9" s="1"/>
  <c r="O18" i="9"/>
  <c r="O82" i="9" s="1"/>
  <c r="N18" i="9"/>
  <c r="N82" i="9" s="1"/>
  <c r="M18" i="9"/>
  <c r="M82" i="9" s="1"/>
  <c r="L18" i="9"/>
  <c r="L82" i="9" s="1"/>
  <c r="K18" i="9"/>
  <c r="K82" i="9" s="1"/>
  <c r="J18" i="9"/>
  <c r="J82" i="9" s="1"/>
  <c r="I18" i="9"/>
  <c r="I82" i="9" s="1"/>
  <c r="H18" i="9"/>
  <c r="H82" i="9" s="1"/>
  <c r="G18" i="9"/>
  <c r="G82" i="9" s="1"/>
  <c r="F18" i="9"/>
  <c r="F82" i="9" s="1"/>
  <c r="E18" i="9"/>
  <c r="E82" i="9" s="1"/>
  <c r="E83" i="9" s="1"/>
  <c r="F83" i="9" s="1"/>
  <c r="G83" i="9" s="1"/>
  <c r="H83" i="9" s="1"/>
  <c r="I83" i="9" s="1"/>
  <c r="J83" i="9" s="1"/>
  <c r="K83" i="9" s="1"/>
  <c r="L83" i="9" s="1"/>
  <c r="M83" i="9" s="1"/>
  <c r="N83" i="9" s="1"/>
  <c r="BX17" i="9"/>
  <c r="BX84" i="9" s="1"/>
  <c r="BW17" i="9"/>
  <c r="BW84" i="9" s="1"/>
  <c r="BV17" i="9"/>
  <c r="BV84" i="9" s="1"/>
  <c r="BU17" i="9"/>
  <c r="BU84" i="9" s="1"/>
  <c r="BT17" i="9"/>
  <c r="BT84" i="9" s="1"/>
  <c r="BS17" i="9"/>
  <c r="BS84" i="9" s="1"/>
  <c r="BR17" i="9"/>
  <c r="BR84" i="9" s="1"/>
  <c r="BQ17" i="9"/>
  <c r="BQ84" i="9" s="1"/>
  <c r="BP17" i="9"/>
  <c r="BP84" i="9" s="1"/>
  <c r="BO17" i="9"/>
  <c r="BO84" i="9" s="1"/>
  <c r="BN17" i="9"/>
  <c r="BN84" i="9" s="1"/>
  <c r="BM17" i="9"/>
  <c r="BM84" i="9" s="1"/>
  <c r="BL17" i="9"/>
  <c r="BL84" i="9" s="1"/>
  <c r="BK17" i="9"/>
  <c r="BK84" i="9" s="1"/>
  <c r="BJ17" i="9"/>
  <c r="BJ84" i="9" s="1"/>
  <c r="BI17" i="9"/>
  <c r="BI84" i="9" s="1"/>
  <c r="BH17" i="9"/>
  <c r="BH84" i="9" s="1"/>
  <c r="BG17" i="9"/>
  <c r="BG84" i="9" s="1"/>
  <c r="BF17" i="9"/>
  <c r="BF84" i="9" s="1"/>
  <c r="BE17" i="9"/>
  <c r="BE84" i="9" s="1"/>
  <c r="BD17" i="9"/>
  <c r="BD84" i="9" s="1"/>
  <c r="BC17" i="9"/>
  <c r="BC84" i="9" s="1"/>
  <c r="BB17" i="9"/>
  <c r="BB84" i="9" s="1"/>
  <c r="BA17" i="9"/>
  <c r="BA84" i="9" s="1"/>
  <c r="AZ17" i="9"/>
  <c r="AZ84" i="9" s="1"/>
  <c r="AY17" i="9"/>
  <c r="AY84" i="9" s="1"/>
  <c r="AX17" i="9"/>
  <c r="AX84" i="9" s="1"/>
  <c r="AW17" i="9"/>
  <c r="AW84" i="9" s="1"/>
  <c r="AV17" i="9"/>
  <c r="AV84" i="9" s="1"/>
  <c r="AU17" i="9"/>
  <c r="AU84" i="9" s="1"/>
  <c r="AT17" i="9"/>
  <c r="AT84" i="9" s="1"/>
  <c r="AS17" i="9"/>
  <c r="AS84" i="9" s="1"/>
  <c r="AR17" i="9"/>
  <c r="AR84" i="9" s="1"/>
  <c r="AQ17" i="9"/>
  <c r="AQ84" i="9" s="1"/>
  <c r="AP17" i="9"/>
  <c r="AP84" i="9" s="1"/>
  <c r="AO17" i="9"/>
  <c r="AO84" i="9" s="1"/>
  <c r="AN17" i="9"/>
  <c r="AN84" i="9" s="1"/>
  <c r="J17" i="9"/>
  <c r="J84" i="9" s="1"/>
  <c r="I17" i="9"/>
  <c r="I84" i="9" s="1"/>
  <c r="H17" i="9"/>
  <c r="H84" i="9" s="1"/>
  <c r="G17" i="9"/>
  <c r="G84" i="9" s="1"/>
  <c r="F17" i="9"/>
  <c r="F84" i="9" s="1"/>
  <c r="E17" i="9"/>
  <c r="E84" i="9" s="1"/>
  <c r="E85" i="9" s="1"/>
  <c r="K16" i="9"/>
  <c r="AG16" i="9" s="1"/>
  <c r="V14" i="9"/>
  <c r="U14" i="9"/>
  <c r="T14" i="9"/>
  <c r="T17" i="9" s="1"/>
  <c r="T84" i="9" s="1"/>
  <c r="S14" i="9"/>
  <c r="S17" i="9" s="1"/>
  <c r="S84" i="9" s="1"/>
  <c r="R14" i="9"/>
  <c r="Q14" i="9"/>
  <c r="P14" i="9"/>
  <c r="P17" i="9" s="1"/>
  <c r="P84" i="9" s="1"/>
  <c r="O14" i="9"/>
  <c r="N14" i="9"/>
  <c r="N17" i="9" s="1"/>
  <c r="N84" i="9" s="1"/>
  <c r="M14" i="9"/>
  <c r="BY9" i="9"/>
  <c r="BY8" i="9"/>
  <c r="BY7" i="9"/>
  <c r="AL6" i="9"/>
  <c r="R6" i="9"/>
  <c r="Q6" i="9"/>
  <c r="V5" i="9"/>
  <c r="U5" i="9"/>
  <c r="O5" i="9"/>
  <c r="L5" i="9"/>
  <c r="K5" i="9"/>
  <c r="D118" i="8"/>
  <c r="BX116" i="8"/>
  <c r="BW116" i="8"/>
  <c r="BV116" i="8"/>
  <c r="BU116" i="8"/>
  <c r="BT116" i="8"/>
  <c r="BS116" i="8"/>
  <c r="BR116" i="8"/>
  <c r="BQ116" i="8"/>
  <c r="BP116" i="8"/>
  <c r="BO116" i="8"/>
  <c r="BN116" i="8"/>
  <c r="BM116" i="8"/>
  <c r="BL116" i="8"/>
  <c r="BK116" i="8"/>
  <c r="BJ116" i="8"/>
  <c r="BI116" i="8"/>
  <c r="BH116" i="8"/>
  <c r="BG116" i="8"/>
  <c r="BF116" i="8"/>
  <c r="BE116" i="8"/>
  <c r="BD116" i="8"/>
  <c r="BC116" i="8"/>
  <c r="BB116" i="8"/>
  <c r="BA116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I116" i="8"/>
  <c r="AH116" i="8"/>
  <c r="AG116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R116" i="8"/>
  <c r="Q116" i="8"/>
  <c r="P116" i="8"/>
  <c r="O116" i="8"/>
  <c r="N116" i="8"/>
  <c r="M116" i="8"/>
  <c r="L116" i="8"/>
  <c r="K116" i="8"/>
  <c r="J116" i="8"/>
  <c r="I116" i="8"/>
  <c r="H116" i="8"/>
  <c r="G116" i="8"/>
  <c r="F116" i="8"/>
  <c r="E116" i="8"/>
  <c r="BX114" i="8"/>
  <c r="BW114" i="8"/>
  <c r="BW119" i="8" s="1"/>
  <c r="BV114" i="8"/>
  <c r="BV119" i="8" s="1"/>
  <c r="BU114" i="8"/>
  <c r="BU119" i="8" s="1"/>
  <c r="BT114" i="8"/>
  <c r="BT119" i="8" s="1"/>
  <c r="BS114" i="8"/>
  <c r="BS119" i="8" s="1"/>
  <c r="BR114" i="8"/>
  <c r="BR119" i="8" s="1"/>
  <c r="BQ114" i="8"/>
  <c r="BQ119" i="8" s="1"/>
  <c r="BP114" i="8"/>
  <c r="BP119" i="8" s="1"/>
  <c r="BO114" i="8"/>
  <c r="BO119" i="8" s="1"/>
  <c r="BN114" i="8"/>
  <c r="BN119" i="8" s="1"/>
  <c r="BM114" i="8"/>
  <c r="BM119" i="8" s="1"/>
  <c r="BL114" i="8"/>
  <c r="BL119" i="8" s="1"/>
  <c r="BK114" i="8"/>
  <c r="BK119" i="8" s="1"/>
  <c r="BJ114" i="8"/>
  <c r="BJ119" i="8" s="1"/>
  <c r="BI114" i="8"/>
  <c r="BI119" i="8" s="1"/>
  <c r="BH114" i="8"/>
  <c r="BH119" i="8" s="1"/>
  <c r="BG114" i="8"/>
  <c r="BG119" i="8" s="1"/>
  <c r="BF114" i="8"/>
  <c r="BF119" i="8" s="1"/>
  <c r="BE114" i="8"/>
  <c r="BE119" i="8" s="1"/>
  <c r="BD114" i="8"/>
  <c r="BD119" i="8" s="1"/>
  <c r="BC114" i="8"/>
  <c r="BC119" i="8" s="1"/>
  <c r="BB114" i="8"/>
  <c r="BB119" i="8" s="1"/>
  <c r="BA114" i="8"/>
  <c r="BA119" i="8" s="1"/>
  <c r="AZ114" i="8"/>
  <c r="AZ119" i="8" s="1"/>
  <c r="AY114" i="8"/>
  <c r="AY119" i="8" s="1"/>
  <c r="AX114" i="8"/>
  <c r="AX119" i="8" s="1"/>
  <c r="AW114" i="8"/>
  <c r="AW119" i="8" s="1"/>
  <c r="AV114" i="8"/>
  <c r="AV119" i="8" s="1"/>
  <c r="AU114" i="8"/>
  <c r="AU119" i="8" s="1"/>
  <c r="AT114" i="8"/>
  <c r="AT119" i="8" s="1"/>
  <c r="AS114" i="8"/>
  <c r="AS119" i="8" s="1"/>
  <c r="AR114" i="8"/>
  <c r="AR119" i="8" s="1"/>
  <c r="AQ114" i="8"/>
  <c r="AQ119" i="8" s="1"/>
  <c r="AP114" i="8"/>
  <c r="AP119" i="8" s="1"/>
  <c r="AO114" i="8"/>
  <c r="AO119" i="8" s="1"/>
  <c r="AN114" i="8"/>
  <c r="AN119" i="8" s="1"/>
  <c r="AM114" i="8"/>
  <c r="AM119" i="8" s="1"/>
  <c r="AC114" i="8"/>
  <c r="AC119" i="8" s="1"/>
  <c r="X114" i="8"/>
  <c r="X119" i="8" s="1"/>
  <c r="W114" i="8"/>
  <c r="W119" i="8" s="1"/>
  <c r="V114" i="8"/>
  <c r="V119" i="8" s="1"/>
  <c r="U114" i="8"/>
  <c r="U119" i="8" s="1"/>
  <c r="T114" i="8"/>
  <c r="T119" i="8" s="1"/>
  <c r="S114" i="8"/>
  <c r="S119" i="8" s="1"/>
  <c r="P114" i="8"/>
  <c r="P119" i="8" s="1"/>
  <c r="O114" i="8"/>
  <c r="O119" i="8" s="1"/>
  <c r="N114" i="8"/>
  <c r="N119" i="8" s="1"/>
  <c r="M114" i="8"/>
  <c r="M119" i="8" s="1"/>
  <c r="L114" i="8"/>
  <c r="L119" i="8" s="1"/>
  <c r="K114" i="8"/>
  <c r="K119" i="8" s="1"/>
  <c r="J114" i="8"/>
  <c r="J119" i="8" s="1"/>
  <c r="I114" i="8"/>
  <c r="I119" i="8" s="1"/>
  <c r="H114" i="8"/>
  <c r="H119" i="8" s="1"/>
  <c r="G114" i="8"/>
  <c r="G119" i="8" s="1"/>
  <c r="F114" i="8"/>
  <c r="F119" i="8" s="1"/>
  <c r="E114" i="8"/>
  <c r="E119" i="8" s="1"/>
  <c r="E120" i="8" s="1"/>
  <c r="BX100" i="8"/>
  <c r="BW100" i="8"/>
  <c r="BV100" i="8"/>
  <c r="BU100" i="8"/>
  <c r="BT100" i="8"/>
  <c r="BS100" i="8"/>
  <c r="BR100" i="8"/>
  <c r="BQ100" i="8"/>
  <c r="BP100" i="8"/>
  <c r="BO100" i="8"/>
  <c r="BN100" i="8"/>
  <c r="BM100" i="8"/>
  <c r="BL100" i="8"/>
  <c r="BK100" i="8"/>
  <c r="BJ100" i="8"/>
  <c r="BI100" i="8"/>
  <c r="BH100" i="8"/>
  <c r="BG100" i="8"/>
  <c r="BF100" i="8"/>
  <c r="BE100" i="8"/>
  <c r="BD100" i="8"/>
  <c r="BC100" i="8"/>
  <c r="BB100" i="8"/>
  <c r="BA100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I100" i="8"/>
  <c r="AH100" i="8"/>
  <c r="AG100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R100" i="8"/>
  <c r="P100" i="8"/>
  <c r="O100" i="8"/>
  <c r="N100" i="8"/>
  <c r="M100" i="8"/>
  <c r="L100" i="8"/>
  <c r="K100" i="8"/>
  <c r="J100" i="8"/>
  <c r="I100" i="8"/>
  <c r="H100" i="8"/>
  <c r="G100" i="8"/>
  <c r="F100" i="8"/>
  <c r="E100" i="8"/>
  <c r="BX98" i="8"/>
  <c r="BW98" i="8"/>
  <c r="BW104" i="8" s="1"/>
  <c r="BV98" i="8"/>
  <c r="BV104" i="8" s="1"/>
  <c r="BU98" i="8"/>
  <c r="BU104" i="8" s="1"/>
  <c r="BT98" i="8"/>
  <c r="BT104" i="8" s="1"/>
  <c r="BS98" i="8"/>
  <c r="BS104" i="8" s="1"/>
  <c r="BR98" i="8"/>
  <c r="BR104" i="8" s="1"/>
  <c r="BQ98" i="8"/>
  <c r="BQ104" i="8" s="1"/>
  <c r="BP98" i="8"/>
  <c r="BP104" i="8" s="1"/>
  <c r="BO98" i="8"/>
  <c r="BO104" i="8" s="1"/>
  <c r="BN98" i="8"/>
  <c r="BN104" i="8" s="1"/>
  <c r="BM98" i="8"/>
  <c r="BM104" i="8" s="1"/>
  <c r="BL98" i="8"/>
  <c r="BL104" i="8" s="1"/>
  <c r="BK98" i="8"/>
  <c r="BK104" i="8" s="1"/>
  <c r="BJ98" i="8"/>
  <c r="BJ104" i="8" s="1"/>
  <c r="BI98" i="8"/>
  <c r="BI104" i="8" s="1"/>
  <c r="BH98" i="8"/>
  <c r="BH104" i="8" s="1"/>
  <c r="BG98" i="8"/>
  <c r="BG104" i="8" s="1"/>
  <c r="BF98" i="8"/>
  <c r="BF104" i="8" s="1"/>
  <c r="BE98" i="8"/>
  <c r="BE104" i="8" s="1"/>
  <c r="BD98" i="8"/>
  <c r="BD104" i="8" s="1"/>
  <c r="BC98" i="8"/>
  <c r="BC104" i="8" s="1"/>
  <c r="BB98" i="8"/>
  <c r="BB104" i="8" s="1"/>
  <c r="BA98" i="8"/>
  <c r="BA104" i="8" s="1"/>
  <c r="AZ98" i="8"/>
  <c r="AZ104" i="8" s="1"/>
  <c r="AY98" i="8"/>
  <c r="AY104" i="8" s="1"/>
  <c r="AX98" i="8"/>
  <c r="AX104" i="8" s="1"/>
  <c r="AW98" i="8"/>
  <c r="AW104" i="8" s="1"/>
  <c r="AV98" i="8"/>
  <c r="AV104" i="8" s="1"/>
  <c r="AU98" i="8"/>
  <c r="AU104" i="8" s="1"/>
  <c r="AT98" i="8"/>
  <c r="AT104" i="8" s="1"/>
  <c r="AS98" i="8"/>
  <c r="AS104" i="8" s="1"/>
  <c r="AR98" i="8"/>
  <c r="AR104" i="8" s="1"/>
  <c r="AQ98" i="8"/>
  <c r="AQ104" i="8" s="1"/>
  <c r="AP98" i="8"/>
  <c r="AP104" i="8" s="1"/>
  <c r="AO98" i="8"/>
  <c r="AO104" i="8" s="1"/>
  <c r="AN98" i="8"/>
  <c r="AN104" i="8" s="1"/>
  <c r="AM98" i="8"/>
  <c r="AM104" i="8" s="1"/>
  <c r="AL98" i="8"/>
  <c r="AL104" i="8" s="1"/>
  <c r="AK98" i="8"/>
  <c r="AK104" i="8" s="1"/>
  <c r="AI98" i="8"/>
  <c r="AI104" i="8" s="1"/>
  <c r="AH98" i="8"/>
  <c r="AH104" i="8" s="1"/>
  <c r="AG98" i="8"/>
  <c r="AG104" i="8" s="1"/>
  <c r="AF98" i="8"/>
  <c r="AF104" i="8" s="1"/>
  <c r="AE98" i="8"/>
  <c r="AE104" i="8" s="1"/>
  <c r="AD98" i="8"/>
  <c r="AD104" i="8" s="1"/>
  <c r="AC98" i="8"/>
  <c r="AC104" i="8" s="1"/>
  <c r="AB98" i="8"/>
  <c r="AB104" i="8" s="1"/>
  <c r="AA98" i="8"/>
  <c r="AA104" i="8" s="1"/>
  <c r="Y98" i="8"/>
  <c r="Y104" i="8" s="1"/>
  <c r="X98" i="8"/>
  <c r="X104" i="8" s="1"/>
  <c r="V98" i="8"/>
  <c r="V104" i="8" s="1"/>
  <c r="T98" i="8"/>
  <c r="T104" i="8" s="1"/>
  <c r="S98" i="8"/>
  <c r="S104" i="8" s="1"/>
  <c r="R98" i="8"/>
  <c r="R104" i="8" s="1"/>
  <c r="P98" i="8"/>
  <c r="P104" i="8" s="1"/>
  <c r="N98" i="8"/>
  <c r="N104" i="8" s="1"/>
  <c r="M98" i="8"/>
  <c r="M104" i="8" s="1"/>
  <c r="J98" i="8"/>
  <c r="J104" i="8" s="1"/>
  <c r="I98" i="8"/>
  <c r="I104" i="8" s="1"/>
  <c r="H98" i="8"/>
  <c r="H104" i="8" s="1"/>
  <c r="G98" i="8"/>
  <c r="G104" i="8" s="1"/>
  <c r="F98" i="8"/>
  <c r="F104" i="8" s="1"/>
  <c r="E98" i="8"/>
  <c r="E104" i="8" s="1"/>
  <c r="E105" i="8" s="1"/>
  <c r="BW90" i="8"/>
  <c r="BV90" i="8"/>
  <c r="BU90" i="8"/>
  <c r="BT90" i="8"/>
  <c r="BS90" i="8"/>
  <c r="BR90" i="8"/>
  <c r="BQ90" i="8"/>
  <c r="BP90" i="8"/>
  <c r="BO90" i="8"/>
  <c r="BN90" i="8"/>
  <c r="BM90" i="8"/>
  <c r="BL90" i="8"/>
  <c r="BK90" i="8"/>
  <c r="BJ90" i="8"/>
  <c r="BI90" i="8"/>
  <c r="BH90" i="8"/>
  <c r="BG90" i="8"/>
  <c r="BF90" i="8"/>
  <c r="BE90" i="8"/>
  <c r="BD90" i="8"/>
  <c r="BC90" i="8"/>
  <c r="BB90" i="8"/>
  <c r="BA90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C90" i="8"/>
  <c r="X90" i="8"/>
  <c r="V90" i="8"/>
  <c r="T90" i="8"/>
  <c r="S90" i="8"/>
  <c r="P90" i="8"/>
  <c r="N90" i="8"/>
  <c r="M90" i="8"/>
  <c r="J90" i="8"/>
  <c r="I90" i="8"/>
  <c r="H90" i="8"/>
  <c r="G90" i="8"/>
  <c r="F90" i="8"/>
  <c r="E90" i="8"/>
  <c r="BY80" i="8"/>
  <c r="R79" i="8"/>
  <c r="BY79" i="8" s="1"/>
  <c r="BY78" i="8"/>
  <c r="BY77" i="8"/>
  <c r="Q75" i="8"/>
  <c r="BX74" i="8"/>
  <c r="BW74" i="8"/>
  <c r="BV74" i="8"/>
  <c r="BU74" i="8"/>
  <c r="BT74" i="8"/>
  <c r="BS74" i="8"/>
  <c r="BR74" i="8"/>
  <c r="BQ74" i="8"/>
  <c r="BP74" i="8"/>
  <c r="BO74" i="8"/>
  <c r="BN74" i="8"/>
  <c r="BM74" i="8"/>
  <c r="BL74" i="8"/>
  <c r="BK74" i="8"/>
  <c r="BJ74" i="8"/>
  <c r="BI74" i="8"/>
  <c r="BH74" i="8"/>
  <c r="BG74" i="8"/>
  <c r="BF74" i="8"/>
  <c r="BE74" i="8"/>
  <c r="BD74" i="8"/>
  <c r="BC74" i="8"/>
  <c r="BB74" i="8"/>
  <c r="BA74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I74" i="8"/>
  <c r="AH74" i="8"/>
  <c r="AG74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BY73" i="8"/>
  <c r="BY72" i="8"/>
  <c r="BY71" i="8" s="1"/>
  <c r="BX71" i="8"/>
  <c r="BW71" i="8"/>
  <c r="BV71" i="8"/>
  <c r="BU71" i="8"/>
  <c r="BT71" i="8"/>
  <c r="BS71" i="8"/>
  <c r="BR71" i="8"/>
  <c r="BQ71" i="8"/>
  <c r="BP71" i="8"/>
  <c r="BO71" i="8"/>
  <c r="BN71" i="8"/>
  <c r="BM71" i="8"/>
  <c r="BL71" i="8"/>
  <c r="BK71" i="8"/>
  <c r="BJ71" i="8"/>
  <c r="BI71" i="8"/>
  <c r="BH71" i="8"/>
  <c r="BG71" i="8"/>
  <c r="BF71" i="8"/>
  <c r="BE71" i="8"/>
  <c r="BD71" i="8"/>
  <c r="BC71" i="8"/>
  <c r="BB71" i="8"/>
  <c r="BA71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BY69" i="8"/>
  <c r="BY68" i="8"/>
  <c r="BY67" i="8"/>
  <c r="BY66" i="8"/>
  <c r="BY65" i="8"/>
  <c r="BX63" i="8"/>
  <c r="BW63" i="8"/>
  <c r="BV63" i="8"/>
  <c r="BU63" i="8"/>
  <c r="BT63" i="8"/>
  <c r="BS63" i="8"/>
  <c r="BR63" i="8"/>
  <c r="BQ63" i="8"/>
  <c r="BP63" i="8"/>
  <c r="BO63" i="8"/>
  <c r="BN63" i="8"/>
  <c r="BM63" i="8"/>
  <c r="BL63" i="8"/>
  <c r="BK63" i="8"/>
  <c r="BJ63" i="8"/>
  <c r="BI63" i="8"/>
  <c r="BH63" i="8"/>
  <c r="BG63" i="8"/>
  <c r="BF63" i="8"/>
  <c r="BE63" i="8"/>
  <c r="BD63" i="8"/>
  <c r="BC63" i="8"/>
  <c r="BB63" i="8"/>
  <c r="BA63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AJ62" i="8"/>
  <c r="AI62" i="8"/>
  <c r="AH62" i="8"/>
  <c r="AG62" i="8"/>
  <c r="AF62" i="8"/>
  <c r="AE62" i="8"/>
  <c r="AD62" i="8"/>
  <c r="AC62" i="8"/>
  <c r="AB62" i="8"/>
  <c r="AB55" i="8" s="1"/>
  <c r="AA62" i="8"/>
  <c r="BY61" i="8"/>
  <c r="D61" i="8"/>
  <c r="BY60" i="8"/>
  <c r="BY59" i="8"/>
  <c r="BY58" i="8"/>
  <c r="Q56" i="8"/>
  <c r="BX55" i="8"/>
  <c r="BW55" i="8"/>
  <c r="BV55" i="8"/>
  <c r="BU55" i="8"/>
  <c r="BT55" i="8"/>
  <c r="BS55" i="8"/>
  <c r="BR55" i="8"/>
  <c r="BQ55" i="8"/>
  <c r="BP55" i="8"/>
  <c r="BO55" i="8"/>
  <c r="BN55" i="8"/>
  <c r="BM55" i="8"/>
  <c r="BL55" i="8"/>
  <c r="BK55" i="8"/>
  <c r="BJ55" i="8"/>
  <c r="BI55" i="8"/>
  <c r="BH55" i="8"/>
  <c r="BG55" i="8"/>
  <c r="BF55" i="8"/>
  <c r="BE55" i="8"/>
  <c r="BD55" i="8"/>
  <c r="BC55" i="8"/>
  <c r="BB55" i="8"/>
  <c r="BA55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L55" i="8"/>
  <c r="AK55" i="8"/>
  <c r="AI55" i="8"/>
  <c r="AH55" i="8"/>
  <c r="AG55" i="8"/>
  <c r="AF55" i="8"/>
  <c r="AE55" i="8"/>
  <c r="AD55" i="8"/>
  <c r="AC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BY54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BY53" i="8" s="1"/>
  <c r="BY52" i="8"/>
  <c r="BY51" i="8"/>
  <c r="BX49" i="8"/>
  <c r="BW49" i="8"/>
  <c r="BV49" i="8"/>
  <c r="BU49" i="8"/>
  <c r="BT49" i="8"/>
  <c r="BS49" i="8"/>
  <c r="BR49" i="8"/>
  <c r="BQ49" i="8"/>
  <c r="BP49" i="8"/>
  <c r="BO49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J49" i="8"/>
  <c r="I49" i="8"/>
  <c r="H49" i="8"/>
  <c r="G49" i="8"/>
  <c r="F49" i="8"/>
  <c r="E49" i="8"/>
  <c r="AJ47" i="8"/>
  <c r="AI47" i="8"/>
  <c r="AF47" i="8"/>
  <c r="V47" i="8"/>
  <c r="BY47" i="8" s="1"/>
  <c r="AJ46" i="8"/>
  <c r="AI46" i="8"/>
  <c r="W46" i="8"/>
  <c r="V46" i="8"/>
  <c r="BY46" i="8" s="1"/>
  <c r="CD45" i="8"/>
  <c r="S45" i="8"/>
  <c r="R45" i="8"/>
  <c r="Q45" i="8"/>
  <c r="P45" i="8"/>
  <c r="O45" i="8"/>
  <c r="N45" i="8"/>
  <c r="L45" i="8"/>
  <c r="I45" i="8"/>
  <c r="CD44" i="8"/>
  <c r="CD70" i="8" s="1" a="1"/>
  <c r="CD70" i="8" s="1"/>
  <c r="U44" i="8"/>
  <c r="S44" i="8"/>
  <c r="R44" i="8"/>
  <c r="P44" i="8"/>
  <c r="O44" i="8"/>
  <c r="N44" i="8"/>
  <c r="L44" i="8"/>
  <c r="BY43" i="8"/>
  <c r="CD42" i="8"/>
  <c r="CD69" i="8" s="1"/>
  <c r="BY42" i="8"/>
  <c r="CD41" i="8"/>
  <c r="CD68" i="8" s="1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BY41" i="8" s="1"/>
  <c r="CD40" i="8"/>
  <c r="CD67" i="8" s="1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BY40" i="8" s="1"/>
  <c r="BX39" i="8"/>
  <c r="BW39" i="8"/>
  <c r="BV39" i="8"/>
  <c r="BU39" i="8"/>
  <c r="BT39" i="8"/>
  <c r="BS39" i="8"/>
  <c r="BR39" i="8"/>
  <c r="BQ39" i="8"/>
  <c r="BP39" i="8"/>
  <c r="BO39" i="8"/>
  <c r="BN39" i="8"/>
  <c r="BM39" i="8"/>
  <c r="BL39" i="8"/>
  <c r="BK39" i="8"/>
  <c r="BJ39" i="8"/>
  <c r="BI39" i="8"/>
  <c r="BH39" i="8"/>
  <c r="BG39" i="8"/>
  <c r="BF39" i="8"/>
  <c r="BE39" i="8"/>
  <c r="BD39" i="8"/>
  <c r="BC39" i="8"/>
  <c r="BB39" i="8"/>
  <c r="BA39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I39" i="8"/>
  <c r="U39" i="8"/>
  <c r="T39" i="8"/>
  <c r="S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CD38" i="8" a="1"/>
  <c r="CD38" i="8"/>
  <c r="CD65" i="8" s="1"/>
  <c r="BY38" i="8"/>
  <c r="CD37" i="8" a="1"/>
  <c r="CD37" i="8"/>
  <c r="CD64" i="8" s="1"/>
  <c r="BX36" i="8"/>
  <c r="BW36" i="8"/>
  <c r="BV36" i="8"/>
  <c r="BU36" i="8"/>
  <c r="BT36" i="8"/>
  <c r="BS36" i="8"/>
  <c r="BR36" i="8"/>
  <c r="BQ36" i="8"/>
  <c r="BP36" i="8"/>
  <c r="BO36" i="8"/>
  <c r="BN36" i="8"/>
  <c r="BM36" i="8"/>
  <c r="BL36" i="8"/>
  <c r="BK36" i="8"/>
  <c r="BJ36" i="8"/>
  <c r="BI36" i="8"/>
  <c r="BH36" i="8"/>
  <c r="BG36" i="8"/>
  <c r="BF36" i="8"/>
  <c r="BE36" i="8"/>
  <c r="BD36" i="8"/>
  <c r="BC36" i="8"/>
  <c r="BB36" i="8"/>
  <c r="BA36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CD35" i="8"/>
  <c r="BY35" i="8"/>
  <c r="CD34" i="8"/>
  <c r="BY34" i="8"/>
  <c r="CD33" i="8"/>
  <c r="BY33" i="8"/>
  <c r="CD32" i="8"/>
  <c r="AC32" i="8"/>
  <c r="W32" i="8"/>
  <c r="T32" i="8"/>
  <c r="BY32" i="8" s="1"/>
  <c r="CD31" i="8"/>
  <c r="BY31" i="8"/>
  <c r="CD30" i="8"/>
  <c r="BY30" i="8"/>
  <c r="CD29" i="8"/>
  <c r="BX28" i="8"/>
  <c r="BW28" i="8"/>
  <c r="BV28" i="8"/>
  <c r="BU28" i="8"/>
  <c r="BT28" i="8"/>
  <c r="BS28" i="8"/>
  <c r="BR28" i="8"/>
  <c r="BQ28" i="8"/>
  <c r="BP28" i="8"/>
  <c r="BO28" i="8"/>
  <c r="BN28" i="8"/>
  <c r="BM28" i="8"/>
  <c r="BL28" i="8"/>
  <c r="BK28" i="8"/>
  <c r="BJ28" i="8"/>
  <c r="BI28" i="8"/>
  <c r="BH28" i="8"/>
  <c r="BG28" i="8"/>
  <c r="BF28" i="8"/>
  <c r="BE28" i="8"/>
  <c r="BD28" i="8"/>
  <c r="BC28" i="8"/>
  <c r="BB28" i="8"/>
  <c r="BA28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AI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CD27" i="8" a="1"/>
  <c r="CD27" i="8" s="1"/>
  <c r="BY27" i="8"/>
  <c r="Z26" i="8"/>
  <c r="Y26" i="8"/>
  <c r="C26" i="8"/>
  <c r="CD25" i="8" a="1"/>
  <c r="CD25" i="8"/>
  <c r="Z25" i="8"/>
  <c r="Y25" i="8"/>
  <c r="W25" i="8"/>
  <c r="V25" i="8"/>
  <c r="T25" i="8"/>
  <c r="BY25" i="8" s="1"/>
  <c r="BY24" i="8"/>
  <c r="BX24" i="8"/>
  <c r="BW24" i="8"/>
  <c r="BV24" i="8"/>
  <c r="BU24" i="8"/>
  <c r="BT24" i="8"/>
  <c r="BS24" i="8"/>
  <c r="BR24" i="8"/>
  <c r="BQ24" i="8"/>
  <c r="BP24" i="8"/>
  <c r="BO24" i="8"/>
  <c r="BN24" i="8"/>
  <c r="BM24" i="8"/>
  <c r="BL24" i="8"/>
  <c r="BK24" i="8"/>
  <c r="BJ24" i="8"/>
  <c r="BI24" i="8"/>
  <c r="BH24" i="8"/>
  <c r="BG24" i="8"/>
  <c r="BF24" i="8"/>
  <c r="BE24" i="8"/>
  <c r="BD24" i="8"/>
  <c r="BC24" i="8"/>
  <c r="BB24" i="8"/>
  <c r="BA24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BY23" i="8"/>
  <c r="S22" i="8"/>
  <c r="BY22" i="8" s="1"/>
  <c r="S21" i="8"/>
  <c r="BY21" i="8" s="1"/>
  <c r="J20" i="8"/>
  <c r="BY20" i="8" s="1"/>
  <c r="L19" i="8"/>
  <c r="BX18" i="8"/>
  <c r="BX82" i="8" s="1"/>
  <c r="BW18" i="8"/>
  <c r="BV18" i="8"/>
  <c r="BV82" i="8" s="1"/>
  <c r="BU18" i="8"/>
  <c r="BT18" i="8"/>
  <c r="BS18" i="8"/>
  <c r="BR18" i="8"/>
  <c r="BQ18" i="8"/>
  <c r="BP18" i="8"/>
  <c r="BP82" i="8" s="1"/>
  <c r="BO18" i="8"/>
  <c r="BN18" i="8"/>
  <c r="BN82" i="8" s="1"/>
  <c r="BM18" i="8"/>
  <c r="BL18" i="8"/>
  <c r="BK18" i="8"/>
  <c r="BJ18" i="8"/>
  <c r="BI18" i="8"/>
  <c r="BH18" i="8"/>
  <c r="BH82" i="8" s="1"/>
  <c r="BG18" i="8"/>
  <c r="BF18" i="8"/>
  <c r="BF82" i="8" s="1"/>
  <c r="BE18" i="8"/>
  <c r="BD18" i="8"/>
  <c r="BC18" i="8"/>
  <c r="BB18" i="8"/>
  <c r="BA18" i="8"/>
  <c r="AZ18" i="8"/>
  <c r="AZ82" i="8" s="1"/>
  <c r="AY18" i="8"/>
  <c r="AX18" i="8"/>
  <c r="AX82" i="8" s="1"/>
  <c r="AW18" i="8"/>
  <c r="AV18" i="8"/>
  <c r="AU18" i="8"/>
  <c r="AT18" i="8"/>
  <c r="AS18" i="8"/>
  <c r="AR18" i="8"/>
  <c r="AR82" i="8" s="1"/>
  <c r="AQ18" i="8"/>
  <c r="AP18" i="8"/>
  <c r="AP82" i="8" s="1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V18" i="8"/>
  <c r="U18" i="8"/>
  <c r="T18" i="8"/>
  <c r="S18" i="8"/>
  <c r="S82" i="8" s="1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J17" i="8"/>
  <c r="I17" i="8"/>
  <c r="H17" i="8"/>
  <c r="G17" i="8"/>
  <c r="F17" i="8"/>
  <c r="E17" i="8"/>
  <c r="AG16" i="8"/>
  <c r="K16" i="8"/>
  <c r="AI14" i="8"/>
  <c r="S14" i="8"/>
  <c r="S17" i="8" s="1"/>
  <c r="S84" i="8" s="1"/>
  <c r="Q14" i="8"/>
  <c r="O14" i="8"/>
  <c r="N14" i="8"/>
  <c r="N17" i="8" s="1"/>
  <c r="BY11" i="8"/>
  <c r="AH10" i="8"/>
  <c r="AG10" i="8"/>
  <c r="AF10" i="8"/>
  <c r="AE10" i="8"/>
  <c r="AD10" i="8"/>
  <c r="AC10" i="8"/>
  <c r="BY9" i="8"/>
  <c r="BY8" i="8"/>
  <c r="CD8" i="8" s="1"/>
  <c r="CD53" i="8" s="1"/>
  <c r="BY7" i="8"/>
  <c r="CD7" i="8" s="1"/>
  <c r="AL6" i="8"/>
  <c r="AK6" i="8"/>
  <c r="AJ6" i="8"/>
  <c r="AI6" i="8"/>
  <c r="AH6" i="8"/>
  <c r="AG6" i="8"/>
  <c r="AF6" i="8"/>
  <c r="AE6" i="8"/>
  <c r="AD6" i="8"/>
  <c r="AB6" i="8"/>
  <c r="AA6" i="8"/>
  <c r="Z6" i="8"/>
  <c r="Z114" i="8" s="1"/>
  <c r="Z119" i="8" s="1"/>
  <c r="Y6" i="8"/>
  <c r="R6" i="8"/>
  <c r="Q6" i="8"/>
  <c r="Z5" i="8"/>
  <c r="W5" i="8"/>
  <c r="U5" i="8"/>
  <c r="O5" i="8"/>
  <c r="L5" i="8"/>
  <c r="K5" i="8"/>
  <c r="D155" i="6"/>
  <c r="BX148" i="6"/>
  <c r="BW148" i="6"/>
  <c r="BV148" i="6"/>
  <c r="BU148" i="6"/>
  <c r="BT148" i="6"/>
  <c r="BS148" i="6"/>
  <c r="BR148" i="6"/>
  <c r="BQ148" i="6"/>
  <c r="BP148" i="6"/>
  <c r="BO148" i="6"/>
  <c r="BN148" i="6"/>
  <c r="BM148" i="6"/>
  <c r="BL148" i="6"/>
  <c r="BK148" i="6"/>
  <c r="BJ148" i="6"/>
  <c r="BI148" i="6"/>
  <c r="BH148" i="6"/>
  <c r="BG148" i="6"/>
  <c r="BF148" i="6"/>
  <c r="BE148" i="6"/>
  <c r="BD148" i="6"/>
  <c r="BC148" i="6"/>
  <c r="BB148" i="6"/>
  <c r="BA148" i="6"/>
  <c r="AZ148" i="6"/>
  <c r="AY148" i="6"/>
  <c r="AX148" i="6"/>
  <c r="AW148" i="6"/>
  <c r="AV148" i="6"/>
  <c r="AU148" i="6"/>
  <c r="AT148" i="6"/>
  <c r="AS148" i="6"/>
  <c r="AR148" i="6"/>
  <c r="AQ148" i="6"/>
  <c r="AP148" i="6"/>
  <c r="AO148" i="6"/>
  <c r="AN148" i="6"/>
  <c r="AM148" i="6"/>
  <c r="AL148" i="6"/>
  <c r="AK148" i="6"/>
  <c r="AJ148" i="6"/>
  <c r="AI148" i="6"/>
  <c r="AH148" i="6"/>
  <c r="AG148" i="6"/>
  <c r="AF148" i="6"/>
  <c r="AE148" i="6"/>
  <c r="AD148" i="6"/>
  <c r="AC148" i="6"/>
  <c r="AB148" i="6"/>
  <c r="AA148" i="6"/>
  <c r="Z148" i="6"/>
  <c r="Y148" i="6"/>
  <c r="X148" i="6"/>
  <c r="W148" i="6"/>
  <c r="V148" i="6"/>
  <c r="U148" i="6"/>
  <c r="T148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BX146" i="6"/>
  <c r="BW146" i="6"/>
  <c r="BW151" i="6" s="1"/>
  <c r="BV146" i="6"/>
  <c r="BV151" i="6" s="1"/>
  <c r="BU146" i="6"/>
  <c r="BU151" i="6" s="1"/>
  <c r="BT146" i="6"/>
  <c r="BT151" i="6" s="1"/>
  <c r="BS146" i="6"/>
  <c r="BS151" i="6" s="1"/>
  <c r="BR146" i="6"/>
  <c r="BR151" i="6" s="1"/>
  <c r="BQ146" i="6"/>
  <c r="BQ151" i="6" s="1"/>
  <c r="BP146" i="6"/>
  <c r="BP151" i="6" s="1"/>
  <c r="BO146" i="6"/>
  <c r="BO151" i="6" s="1"/>
  <c r="BN146" i="6"/>
  <c r="BN151" i="6" s="1"/>
  <c r="BM146" i="6"/>
  <c r="BM151" i="6" s="1"/>
  <c r="BL146" i="6"/>
  <c r="BL151" i="6" s="1"/>
  <c r="BK146" i="6"/>
  <c r="BK151" i="6" s="1"/>
  <c r="BJ146" i="6"/>
  <c r="BJ151" i="6" s="1"/>
  <c r="BI146" i="6"/>
  <c r="BI151" i="6" s="1"/>
  <c r="BH146" i="6"/>
  <c r="BH151" i="6" s="1"/>
  <c r="BG146" i="6"/>
  <c r="BG151" i="6" s="1"/>
  <c r="BF146" i="6"/>
  <c r="BF151" i="6" s="1"/>
  <c r="BE146" i="6"/>
  <c r="BE151" i="6" s="1"/>
  <c r="BD146" i="6"/>
  <c r="BD151" i="6" s="1"/>
  <c r="BC146" i="6"/>
  <c r="BC151" i="6" s="1"/>
  <c r="BB146" i="6"/>
  <c r="BB151" i="6" s="1"/>
  <c r="BA146" i="6"/>
  <c r="BA151" i="6" s="1"/>
  <c r="AZ146" i="6"/>
  <c r="AZ151" i="6" s="1"/>
  <c r="AY146" i="6"/>
  <c r="AY151" i="6" s="1"/>
  <c r="AX146" i="6"/>
  <c r="AX151" i="6" s="1"/>
  <c r="AW146" i="6"/>
  <c r="AW151" i="6" s="1"/>
  <c r="AV146" i="6"/>
  <c r="AV151" i="6" s="1"/>
  <c r="AU146" i="6"/>
  <c r="AU151" i="6" s="1"/>
  <c r="AT146" i="6"/>
  <c r="AT151" i="6" s="1"/>
  <c r="AS146" i="6"/>
  <c r="AS151" i="6" s="1"/>
  <c r="AR146" i="6"/>
  <c r="AR151" i="6" s="1"/>
  <c r="AQ146" i="6"/>
  <c r="AQ151" i="6" s="1"/>
  <c r="AP146" i="6"/>
  <c r="AP151" i="6" s="1"/>
  <c r="AO146" i="6"/>
  <c r="AO151" i="6" s="1"/>
  <c r="AN146" i="6"/>
  <c r="AN151" i="6" s="1"/>
  <c r="AM146" i="6"/>
  <c r="AM151" i="6" s="1"/>
  <c r="AL146" i="6"/>
  <c r="AL151" i="6" s="1"/>
  <c r="AK146" i="6"/>
  <c r="AK151" i="6" s="1"/>
  <c r="AJ146" i="6"/>
  <c r="AJ151" i="6" s="1"/>
  <c r="AI146" i="6"/>
  <c r="AI151" i="6" s="1"/>
  <c r="AH146" i="6"/>
  <c r="AH151" i="6" s="1"/>
  <c r="AG146" i="6"/>
  <c r="AG151" i="6" s="1"/>
  <c r="AF146" i="6"/>
  <c r="AF151" i="6" s="1"/>
  <c r="AE146" i="6"/>
  <c r="AE151" i="6" s="1"/>
  <c r="AD146" i="6"/>
  <c r="AD151" i="6" s="1"/>
  <c r="AC146" i="6"/>
  <c r="AC151" i="6" s="1"/>
  <c r="AB146" i="6"/>
  <c r="AB151" i="6" s="1"/>
  <c r="AA146" i="6"/>
  <c r="AA151" i="6" s="1"/>
  <c r="Z146" i="6"/>
  <c r="Z151" i="6" s="1"/>
  <c r="Y146" i="6"/>
  <c r="Y151" i="6" s="1"/>
  <c r="X146" i="6"/>
  <c r="X151" i="6" s="1"/>
  <c r="W146" i="6"/>
  <c r="W151" i="6" s="1"/>
  <c r="V146" i="6"/>
  <c r="V151" i="6" s="1"/>
  <c r="U146" i="6"/>
  <c r="U151" i="6" s="1"/>
  <c r="T146" i="6"/>
  <c r="T151" i="6" s="1"/>
  <c r="S146" i="6"/>
  <c r="S151" i="6" s="1"/>
  <c r="R146" i="6"/>
  <c r="R151" i="6" s="1"/>
  <c r="Q146" i="6"/>
  <c r="Q151" i="6" s="1"/>
  <c r="P146" i="6"/>
  <c r="P151" i="6" s="1"/>
  <c r="O146" i="6"/>
  <c r="O151" i="6" s="1"/>
  <c r="N146" i="6"/>
  <c r="N151" i="6" s="1"/>
  <c r="M146" i="6"/>
  <c r="M151" i="6" s="1"/>
  <c r="L146" i="6"/>
  <c r="L151" i="6" s="1"/>
  <c r="K146" i="6"/>
  <c r="K151" i="6" s="1"/>
  <c r="J146" i="6"/>
  <c r="J151" i="6" s="1"/>
  <c r="I146" i="6"/>
  <c r="I151" i="6" s="1"/>
  <c r="H146" i="6"/>
  <c r="H151" i="6" s="1"/>
  <c r="G146" i="6"/>
  <c r="G151" i="6" s="1"/>
  <c r="F146" i="6"/>
  <c r="F151" i="6" s="1"/>
  <c r="E146" i="6"/>
  <c r="E151" i="6" s="1"/>
  <c r="D138" i="6"/>
  <c r="BX131" i="6"/>
  <c r="BW131" i="6"/>
  <c r="BV131" i="6"/>
  <c r="BU131" i="6"/>
  <c r="BT131" i="6"/>
  <c r="BS131" i="6"/>
  <c r="BR131" i="6"/>
  <c r="BQ131" i="6"/>
  <c r="BP131" i="6"/>
  <c r="BO131" i="6"/>
  <c r="BN131" i="6"/>
  <c r="BM131" i="6"/>
  <c r="BL131" i="6"/>
  <c r="BK131" i="6"/>
  <c r="BJ131" i="6"/>
  <c r="BI131" i="6"/>
  <c r="BH131" i="6"/>
  <c r="BG131" i="6"/>
  <c r="BF131" i="6"/>
  <c r="BE131" i="6"/>
  <c r="BD131" i="6"/>
  <c r="BC131" i="6"/>
  <c r="BB131" i="6"/>
  <c r="BA131" i="6"/>
  <c r="AZ131" i="6"/>
  <c r="AY131" i="6"/>
  <c r="AX131" i="6"/>
  <c r="AW131" i="6"/>
  <c r="AV131" i="6"/>
  <c r="AU131" i="6"/>
  <c r="AT131" i="6"/>
  <c r="AS131" i="6"/>
  <c r="AR131" i="6"/>
  <c r="AQ131" i="6"/>
  <c r="AP131" i="6"/>
  <c r="AO131" i="6"/>
  <c r="AN131" i="6"/>
  <c r="AM131" i="6"/>
  <c r="AL131" i="6"/>
  <c r="AK131" i="6"/>
  <c r="AJ131" i="6"/>
  <c r="AH131" i="6"/>
  <c r="AG131" i="6"/>
  <c r="AF131" i="6"/>
  <c r="AE131" i="6"/>
  <c r="AD131" i="6"/>
  <c r="AC131" i="6"/>
  <c r="AB131" i="6"/>
  <c r="AA131" i="6"/>
  <c r="Z131" i="6"/>
  <c r="Y131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BX129" i="6"/>
  <c r="BW129" i="6"/>
  <c r="BW134" i="6" s="1"/>
  <c r="BV129" i="6"/>
  <c r="BV134" i="6" s="1"/>
  <c r="BU129" i="6"/>
  <c r="BU134" i="6" s="1"/>
  <c r="BT129" i="6"/>
  <c r="BT134" i="6" s="1"/>
  <c r="BS129" i="6"/>
  <c r="BS134" i="6" s="1"/>
  <c r="BR129" i="6"/>
  <c r="BR134" i="6" s="1"/>
  <c r="BQ129" i="6"/>
  <c r="BQ134" i="6" s="1"/>
  <c r="BP129" i="6"/>
  <c r="BP134" i="6" s="1"/>
  <c r="BO129" i="6"/>
  <c r="BO134" i="6" s="1"/>
  <c r="BN129" i="6"/>
  <c r="BN134" i="6" s="1"/>
  <c r="BM129" i="6"/>
  <c r="BM134" i="6" s="1"/>
  <c r="BL129" i="6"/>
  <c r="BL134" i="6" s="1"/>
  <c r="BK129" i="6"/>
  <c r="BK134" i="6" s="1"/>
  <c r="BJ129" i="6"/>
  <c r="BJ134" i="6" s="1"/>
  <c r="BI129" i="6"/>
  <c r="BI134" i="6" s="1"/>
  <c r="BH129" i="6"/>
  <c r="BH134" i="6" s="1"/>
  <c r="BG129" i="6"/>
  <c r="BG134" i="6" s="1"/>
  <c r="BF129" i="6"/>
  <c r="BF134" i="6" s="1"/>
  <c r="BE129" i="6"/>
  <c r="BE134" i="6" s="1"/>
  <c r="BD129" i="6"/>
  <c r="BD134" i="6" s="1"/>
  <c r="BC129" i="6"/>
  <c r="BC134" i="6" s="1"/>
  <c r="BB129" i="6"/>
  <c r="BB134" i="6" s="1"/>
  <c r="BA129" i="6"/>
  <c r="BA134" i="6" s="1"/>
  <c r="AZ129" i="6"/>
  <c r="AZ134" i="6" s="1"/>
  <c r="AY129" i="6"/>
  <c r="AY134" i="6" s="1"/>
  <c r="AX129" i="6"/>
  <c r="AX134" i="6" s="1"/>
  <c r="AW129" i="6"/>
  <c r="AW134" i="6" s="1"/>
  <c r="AV129" i="6"/>
  <c r="AV134" i="6" s="1"/>
  <c r="AU129" i="6"/>
  <c r="AU134" i="6" s="1"/>
  <c r="AT129" i="6"/>
  <c r="AT134" i="6" s="1"/>
  <c r="AS129" i="6"/>
  <c r="AS134" i="6" s="1"/>
  <c r="AR129" i="6"/>
  <c r="AR134" i="6" s="1"/>
  <c r="AQ129" i="6"/>
  <c r="AQ134" i="6" s="1"/>
  <c r="AP129" i="6"/>
  <c r="AP134" i="6" s="1"/>
  <c r="AO129" i="6"/>
  <c r="AO134" i="6" s="1"/>
  <c r="AN129" i="6"/>
  <c r="AN134" i="6" s="1"/>
  <c r="AM129" i="6"/>
  <c r="AM134" i="6" s="1"/>
  <c r="AL129" i="6"/>
  <c r="AL134" i="6" s="1"/>
  <c r="AK129" i="6"/>
  <c r="AK134" i="6" s="1"/>
  <c r="AJ129" i="6"/>
  <c r="AJ134" i="6" s="1"/>
  <c r="AI129" i="6"/>
  <c r="AH129" i="6"/>
  <c r="AH134" i="6" s="1"/>
  <c r="AG129" i="6"/>
  <c r="AG134" i="6" s="1"/>
  <c r="AF129" i="6"/>
  <c r="AF134" i="6" s="1"/>
  <c r="AE129" i="6"/>
  <c r="AE134" i="6" s="1"/>
  <c r="AD129" i="6"/>
  <c r="AD134" i="6" s="1"/>
  <c r="AC129" i="6"/>
  <c r="AC134" i="6" s="1"/>
  <c r="AB129" i="6"/>
  <c r="AB134" i="6" s="1"/>
  <c r="AA129" i="6"/>
  <c r="AA134" i="6" s="1"/>
  <c r="Z129" i="6"/>
  <c r="Z134" i="6" s="1"/>
  <c r="Y129" i="6"/>
  <c r="Y134" i="6" s="1"/>
  <c r="X129" i="6"/>
  <c r="X134" i="6" s="1"/>
  <c r="W129" i="6"/>
  <c r="W134" i="6" s="1"/>
  <c r="V129" i="6"/>
  <c r="V134" i="6" s="1"/>
  <c r="U129" i="6"/>
  <c r="U134" i="6" s="1"/>
  <c r="T129" i="6"/>
  <c r="T134" i="6" s="1"/>
  <c r="S129" i="6"/>
  <c r="S134" i="6" s="1"/>
  <c r="R129" i="6"/>
  <c r="R134" i="6" s="1"/>
  <c r="Q129" i="6"/>
  <c r="Q134" i="6" s="1"/>
  <c r="P129" i="6"/>
  <c r="P134" i="6" s="1"/>
  <c r="O129" i="6"/>
  <c r="O134" i="6" s="1"/>
  <c r="N129" i="6"/>
  <c r="N134" i="6" s="1"/>
  <c r="M129" i="6"/>
  <c r="M134" i="6" s="1"/>
  <c r="L129" i="6"/>
  <c r="L134" i="6" s="1"/>
  <c r="K129" i="6"/>
  <c r="K134" i="6" s="1"/>
  <c r="J129" i="6"/>
  <c r="J134" i="6" s="1"/>
  <c r="I129" i="6"/>
  <c r="I134" i="6" s="1"/>
  <c r="H129" i="6"/>
  <c r="H134" i="6" s="1"/>
  <c r="G129" i="6"/>
  <c r="G134" i="6" s="1"/>
  <c r="F129" i="6"/>
  <c r="F134" i="6" s="1"/>
  <c r="E129" i="6"/>
  <c r="E134" i="6" s="1"/>
  <c r="D117" i="6"/>
  <c r="BX115" i="6"/>
  <c r="BW115" i="6"/>
  <c r="BV115" i="6"/>
  <c r="BU115" i="6"/>
  <c r="BT115" i="6"/>
  <c r="BS115" i="6"/>
  <c r="BR115" i="6"/>
  <c r="BQ115" i="6"/>
  <c r="BP115" i="6"/>
  <c r="BO115" i="6"/>
  <c r="BN115" i="6"/>
  <c r="BM115" i="6"/>
  <c r="BL115" i="6"/>
  <c r="BK115" i="6"/>
  <c r="BJ115" i="6"/>
  <c r="BI115" i="6"/>
  <c r="BH115" i="6"/>
  <c r="BG115" i="6"/>
  <c r="BF115" i="6"/>
  <c r="BE115" i="6"/>
  <c r="BD115" i="6"/>
  <c r="BC115" i="6"/>
  <c r="BB115" i="6"/>
  <c r="BA115" i="6"/>
  <c r="AZ115" i="6"/>
  <c r="AY115" i="6"/>
  <c r="AX115" i="6"/>
  <c r="AW115" i="6"/>
  <c r="AV115" i="6"/>
  <c r="AU115" i="6"/>
  <c r="AT115" i="6"/>
  <c r="AS115" i="6"/>
  <c r="AR115" i="6"/>
  <c r="AQ115" i="6"/>
  <c r="AP115" i="6"/>
  <c r="AO115" i="6"/>
  <c r="AN115" i="6"/>
  <c r="AM115" i="6"/>
  <c r="AL115" i="6"/>
  <c r="AK115" i="6"/>
  <c r="AJ115" i="6"/>
  <c r="AH115" i="6"/>
  <c r="AG115" i="6"/>
  <c r="AF115" i="6"/>
  <c r="AE115" i="6"/>
  <c r="AD115" i="6"/>
  <c r="AC115" i="6"/>
  <c r="AB115" i="6"/>
  <c r="AA115" i="6"/>
  <c r="Z115" i="6"/>
  <c r="Y115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BX113" i="6"/>
  <c r="BW113" i="6"/>
  <c r="BW118" i="6" s="1"/>
  <c r="BV113" i="6"/>
  <c r="BV118" i="6" s="1"/>
  <c r="BU113" i="6"/>
  <c r="BU118" i="6" s="1"/>
  <c r="BT113" i="6"/>
  <c r="BT118" i="6" s="1"/>
  <c r="BS113" i="6"/>
  <c r="BS118" i="6" s="1"/>
  <c r="BR113" i="6"/>
  <c r="BR118" i="6" s="1"/>
  <c r="BQ113" i="6"/>
  <c r="BQ118" i="6" s="1"/>
  <c r="BP113" i="6"/>
  <c r="BP118" i="6" s="1"/>
  <c r="BO113" i="6"/>
  <c r="BO118" i="6" s="1"/>
  <c r="BN113" i="6"/>
  <c r="BN118" i="6" s="1"/>
  <c r="BM113" i="6"/>
  <c r="BM118" i="6" s="1"/>
  <c r="BL113" i="6"/>
  <c r="BL118" i="6" s="1"/>
  <c r="BK113" i="6"/>
  <c r="BK118" i="6" s="1"/>
  <c r="BJ113" i="6"/>
  <c r="BJ118" i="6" s="1"/>
  <c r="BI113" i="6"/>
  <c r="BI118" i="6" s="1"/>
  <c r="BH113" i="6"/>
  <c r="BH118" i="6" s="1"/>
  <c r="BG113" i="6"/>
  <c r="BG118" i="6" s="1"/>
  <c r="BF113" i="6"/>
  <c r="BF118" i="6" s="1"/>
  <c r="BE113" i="6"/>
  <c r="BE118" i="6" s="1"/>
  <c r="BD113" i="6"/>
  <c r="BD118" i="6" s="1"/>
  <c r="BC113" i="6"/>
  <c r="BC118" i="6" s="1"/>
  <c r="BB113" i="6"/>
  <c r="BB118" i="6" s="1"/>
  <c r="BA113" i="6"/>
  <c r="BA118" i="6" s="1"/>
  <c r="AZ113" i="6"/>
  <c r="AZ118" i="6" s="1"/>
  <c r="AY113" i="6"/>
  <c r="AY118" i="6" s="1"/>
  <c r="AX113" i="6"/>
  <c r="AX118" i="6" s="1"/>
  <c r="AW113" i="6"/>
  <c r="AW118" i="6" s="1"/>
  <c r="AV113" i="6"/>
  <c r="AV118" i="6" s="1"/>
  <c r="AU113" i="6"/>
  <c r="AU118" i="6" s="1"/>
  <c r="AT113" i="6"/>
  <c r="AT118" i="6" s="1"/>
  <c r="AS113" i="6"/>
  <c r="AS118" i="6" s="1"/>
  <c r="AR113" i="6"/>
  <c r="AR118" i="6" s="1"/>
  <c r="AQ113" i="6"/>
  <c r="AQ118" i="6" s="1"/>
  <c r="AP113" i="6"/>
  <c r="AP118" i="6" s="1"/>
  <c r="AO113" i="6"/>
  <c r="AO118" i="6" s="1"/>
  <c r="AN113" i="6"/>
  <c r="AN118" i="6" s="1"/>
  <c r="AM113" i="6"/>
  <c r="AM118" i="6" s="1"/>
  <c r="AL113" i="6"/>
  <c r="AL118" i="6" s="1"/>
  <c r="AK113" i="6"/>
  <c r="AK118" i="6" s="1"/>
  <c r="AJ113" i="6"/>
  <c r="AJ118" i="6" s="1"/>
  <c r="N113" i="6"/>
  <c r="N118" i="6" s="1"/>
  <c r="M113" i="6"/>
  <c r="M118" i="6" s="1"/>
  <c r="L113" i="6"/>
  <c r="L118" i="6" s="1"/>
  <c r="K113" i="6"/>
  <c r="K118" i="6" s="1"/>
  <c r="J113" i="6"/>
  <c r="J118" i="6" s="1"/>
  <c r="I113" i="6"/>
  <c r="I118" i="6" s="1"/>
  <c r="H113" i="6"/>
  <c r="H118" i="6" s="1"/>
  <c r="G113" i="6"/>
  <c r="G118" i="6" s="1"/>
  <c r="F113" i="6"/>
  <c r="F118" i="6" s="1"/>
  <c r="E113" i="6"/>
  <c r="E118" i="6" s="1"/>
  <c r="E119" i="6" s="1"/>
  <c r="BX99" i="6"/>
  <c r="BW99" i="6"/>
  <c r="BV99" i="6"/>
  <c r="BU99" i="6"/>
  <c r="BT99" i="6"/>
  <c r="BS99" i="6"/>
  <c r="BR99" i="6"/>
  <c r="BQ99" i="6"/>
  <c r="BP99" i="6"/>
  <c r="BO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X99" i="6"/>
  <c r="AW99" i="6"/>
  <c r="AV99" i="6"/>
  <c r="AU99" i="6"/>
  <c r="AT99" i="6"/>
  <c r="AS99" i="6"/>
  <c r="AR99" i="6"/>
  <c r="AQ99" i="6"/>
  <c r="AP99" i="6"/>
  <c r="AO99" i="6"/>
  <c r="AN99" i="6"/>
  <c r="AM99" i="6"/>
  <c r="AL99" i="6"/>
  <c r="AK99" i="6"/>
  <c r="AJ99" i="6"/>
  <c r="AH99" i="6"/>
  <c r="AG99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BX97" i="6"/>
  <c r="BW97" i="6"/>
  <c r="BW103" i="6" s="1"/>
  <c r="BV97" i="6"/>
  <c r="BV103" i="6" s="1"/>
  <c r="BU97" i="6"/>
  <c r="BU103" i="6" s="1"/>
  <c r="BT97" i="6"/>
  <c r="BT103" i="6" s="1"/>
  <c r="BS97" i="6"/>
  <c r="BS103" i="6" s="1"/>
  <c r="BR97" i="6"/>
  <c r="BR103" i="6" s="1"/>
  <c r="BQ97" i="6"/>
  <c r="BQ103" i="6" s="1"/>
  <c r="BP97" i="6"/>
  <c r="BP103" i="6" s="1"/>
  <c r="BO97" i="6"/>
  <c r="BO103" i="6" s="1"/>
  <c r="BN97" i="6"/>
  <c r="BN103" i="6" s="1"/>
  <c r="BM97" i="6"/>
  <c r="BM103" i="6" s="1"/>
  <c r="BL97" i="6"/>
  <c r="BL103" i="6" s="1"/>
  <c r="BK97" i="6"/>
  <c r="BK103" i="6" s="1"/>
  <c r="BJ97" i="6"/>
  <c r="BJ103" i="6" s="1"/>
  <c r="BI97" i="6"/>
  <c r="BI103" i="6" s="1"/>
  <c r="BH97" i="6"/>
  <c r="BH103" i="6" s="1"/>
  <c r="BG97" i="6"/>
  <c r="BG103" i="6" s="1"/>
  <c r="BF97" i="6"/>
  <c r="BF103" i="6" s="1"/>
  <c r="BE97" i="6"/>
  <c r="BE103" i="6" s="1"/>
  <c r="BD97" i="6"/>
  <c r="BD103" i="6" s="1"/>
  <c r="BC97" i="6"/>
  <c r="BC103" i="6" s="1"/>
  <c r="BB97" i="6"/>
  <c r="BB103" i="6" s="1"/>
  <c r="BA97" i="6"/>
  <c r="BA103" i="6" s="1"/>
  <c r="AZ97" i="6"/>
  <c r="AZ103" i="6" s="1"/>
  <c r="AY97" i="6"/>
  <c r="AY103" i="6" s="1"/>
  <c r="AX97" i="6"/>
  <c r="AX103" i="6" s="1"/>
  <c r="AW97" i="6"/>
  <c r="AW103" i="6" s="1"/>
  <c r="AV97" i="6"/>
  <c r="AV103" i="6" s="1"/>
  <c r="AU97" i="6"/>
  <c r="AU103" i="6" s="1"/>
  <c r="AT97" i="6"/>
  <c r="AT103" i="6" s="1"/>
  <c r="AS97" i="6"/>
  <c r="AS103" i="6" s="1"/>
  <c r="AR97" i="6"/>
  <c r="AR103" i="6" s="1"/>
  <c r="AQ97" i="6"/>
  <c r="AQ103" i="6" s="1"/>
  <c r="AP97" i="6"/>
  <c r="AP103" i="6" s="1"/>
  <c r="AO97" i="6"/>
  <c r="AO103" i="6" s="1"/>
  <c r="AN97" i="6"/>
  <c r="AN103" i="6" s="1"/>
  <c r="AM97" i="6"/>
  <c r="AM103" i="6" s="1"/>
  <c r="AL97" i="6"/>
  <c r="AL103" i="6" s="1"/>
  <c r="AK97" i="6"/>
  <c r="AK103" i="6" s="1"/>
  <c r="AJ97" i="6"/>
  <c r="AJ103" i="6" s="1"/>
  <c r="AH97" i="6"/>
  <c r="AH103" i="6" s="1"/>
  <c r="AG97" i="6"/>
  <c r="AG103" i="6" s="1"/>
  <c r="AF97" i="6"/>
  <c r="AF103" i="6" s="1"/>
  <c r="AE97" i="6"/>
  <c r="AE103" i="6" s="1"/>
  <c r="AD97" i="6"/>
  <c r="AD103" i="6" s="1"/>
  <c r="AC97" i="6"/>
  <c r="AC103" i="6" s="1"/>
  <c r="AB97" i="6"/>
  <c r="AB103" i="6" s="1"/>
  <c r="AA97" i="6"/>
  <c r="AA103" i="6" s="1"/>
  <c r="Z97" i="6"/>
  <c r="Z103" i="6" s="1"/>
  <c r="Y97" i="6"/>
  <c r="Y103" i="6" s="1"/>
  <c r="X97" i="6"/>
  <c r="X103" i="6" s="1"/>
  <c r="W97" i="6"/>
  <c r="W103" i="6" s="1"/>
  <c r="V97" i="6"/>
  <c r="V103" i="6" s="1"/>
  <c r="T97" i="6"/>
  <c r="T103" i="6" s="1"/>
  <c r="R97" i="6"/>
  <c r="R103" i="6" s="1"/>
  <c r="Q97" i="6"/>
  <c r="Q103" i="6" s="1"/>
  <c r="P97" i="6"/>
  <c r="P103" i="6" s="1"/>
  <c r="O97" i="6"/>
  <c r="O103" i="6" s="1"/>
  <c r="N97" i="6"/>
  <c r="N103" i="6" s="1"/>
  <c r="M97" i="6"/>
  <c r="M103" i="6" s="1"/>
  <c r="J97" i="6"/>
  <c r="J103" i="6" s="1"/>
  <c r="I97" i="6"/>
  <c r="I103" i="6" s="1"/>
  <c r="H97" i="6"/>
  <c r="H103" i="6" s="1"/>
  <c r="G97" i="6"/>
  <c r="G103" i="6" s="1"/>
  <c r="F97" i="6"/>
  <c r="F103" i="6" s="1"/>
  <c r="E97" i="6"/>
  <c r="E103" i="6" s="1"/>
  <c r="E104" i="6" s="1"/>
  <c r="BW89" i="6"/>
  <c r="BV89" i="6"/>
  <c r="BU89" i="6"/>
  <c r="BT89" i="6"/>
  <c r="BS89" i="6"/>
  <c r="BR89" i="6"/>
  <c r="BQ89" i="6"/>
  <c r="BP89" i="6"/>
  <c r="BO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N89" i="6"/>
  <c r="M89" i="6"/>
  <c r="J89" i="6"/>
  <c r="I89" i="6"/>
  <c r="H89" i="6"/>
  <c r="G89" i="6"/>
  <c r="F89" i="6"/>
  <c r="E89" i="6"/>
  <c r="BY79" i="6"/>
  <c r="BY78" i="6"/>
  <c r="BY77" i="6"/>
  <c r="BY76" i="6"/>
  <c r="U74" i="6"/>
  <c r="BX73" i="6"/>
  <c r="BW73" i="6"/>
  <c r="BV73" i="6"/>
  <c r="BU73" i="6"/>
  <c r="BT73" i="6"/>
  <c r="BS73" i="6"/>
  <c r="BR73" i="6"/>
  <c r="BQ73" i="6"/>
  <c r="BP73" i="6"/>
  <c r="BO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BY72" i="6"/>
  <c r="BY71" i="6"/>
  <c r="BY70" i="6" s="1"/>
  <c r="BX70" i="6"/>
  <c r="BW70" i="6"/>
  <c r="BV70" i="6"/>
  <c r="BU70" i="6"/>
  <c r="BT70" i="6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BY68" i="6"/>
  <c r="BY67" i="6"/>
  <c r="BY66" i="6"/>
  <c r="BY65" i="6"/>
  <c r="BY64" i="6"/>
  <c r="BX62" i="6"/>
  <c r="BW62" i="6"/>
  <c r="BV62" i="6"/>
  <c r="BU62" i="6"/>
  <c r="BT62" i="6"/>
  <c r="BS62" i="6"/>
  <c r="BR62" i="6"/>
  <c r="BQ62" i="6"/>
  <c r="BP62" i="6"/>
  <c r="BO62" i="6"/>
  <c r="BN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BY61" i="6"/>
  <c r="BY60" i="6"/>
  <c r="D60" i="6"/>
  <c r="BY59" i="6"/>
  <c r="BY58" i="6"/>
  <c r="BX54" i="6"/>
  <c r="BW54" i="6"/>
  <c r="BV54" i="6"/>
  <c r="BU54" i="6"/>
  <c r="BT54" i="6"/>
  <c r="BS54" i="6"/>
  <c r="BR54" i="6"/>
  <c r="BQ54" i="6"/>
  <c r="BP54" i="6"/>
  <c r="BO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BA54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BY53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BY52" i="6" s="1"/>
  <c r="AI51" i="6"/>
  <c r="AH51" i="6"/>
  <c r="AG51" i="6"/>
  <c r="Z51" i="6"/>
  <c r="BX48" i="6"/>
  <c r="BW48" i="6"/>
  <c r="BV48" i="6"/>
  <c r="BU48" i="6"/>
  <c r="BT48" i="6"/>
  <c r="BS48" i="6"/>
  <c r="BR48" i="6"/>
  <c r="BQ48" i="6"/>
  <c r="BP48" i="6"/>
  <c r="BO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BA48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N48" i="6"/>
  <c r="M48" i="6"/>
  <c r="L48" i="6"/>
  <c r="K48" i="6"/>
  <c r="J48" i="6"/>
  <c r="I48" i="6"/>
  <c r="H48" i="6"/>
  <c r="G48" i="6"/>
  <c r="F48" i="6"/>
  <c r="E48" i="6"/>
  <c r="AI46" i="6"/>
  <c r="V46" i="6"/>
  <c r="Q46" i="6"/>
  <c r="BY46" i="6" s="1"/>
  <c r="AI45" i="6"/>
  <c r="AH45" i="6"/>
  <c r="V45" i="6"/>
  <c r="R45" i="6"/>
  <c r="BY45" i="6" s="1"/>
  <c r="CD44" i="6"/>
  <c r="N44" i="6"/>
  <c r="L44" i="6"/>
  <c r="I44" i="6"/>
  <c r="I38" i="6" s="1"/>
  <c r="CD43" i="6"/>
  <c r="CD69" i="6" s="1" a="1"/>
  <c r="CD69" i="6" s="1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L43" i="6"/>
  <c r="BY43" i="6" s="1"/>
  <c r="AH42" i="6"/>
  <c r="AG42" i="6"/>
  <c r="AF42" i="6"/>
  <c r="AE42" i="6"/>
  <c r="AD42" i="6"/>
  <c r="AC42" i="6"/>
  <c r="AB42" i="6"/>
  <c r="AA42" i="6"/>
  <c r="Z42" i="6"/>
  <c r="BY42" i="6" s="1"/>
  <c r="CD41" i="6"/>
  <c r="CD68" i="6" s="1"/>
  <c r="AH41" i="6"/>
  <c r="AG41" i="6"/>
  <c r="AF41" i="6"/>
  <c r="AE41" i="6"/>
  <c r="AD41" i="6"/>
  <c r="AC41" i="6"/>
  <c r="AB41" i="6"/>
  <c r="AA41" i="6"/>
  <c r="Z41" i="6"/>
  <c r="Y41" i="6"/>
  <c r="BY41" i="6" s="1"/>
  <c r="CD40" i="6"/>
  <c r="CD67" i="6" s="1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N40" i="6"/>
  <c r="BY40" i="6" s="1"/>
  <c r="CD39" i="6"/>
  <c r="CD66" i="6" s="1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BY39" i="6" s="1"/>
  <c r="BX38" i="6"/>
  <c r="BW38" i="6"/>
  <c r="BV38" i="6"/>
  <c r="BU38" i="6"/>
  <c r="BT38" i="6"/>
  <c r="BS38" i="6"/>
  <c r="BR38" i="6"/>
  <c r="BQ38" i="6"/>
  <c r="BP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N38" i="6"/>
  <c r="M38" i="6"/>
  <c r="L38" i="6"/>
  <c r="K38" i="6"/>
  <c r="J38" i="6"/>
  <c r="H38" i="6"/>
  <c r="G38" i="6"/>
  <c r="F38" i="6"/>
  <c r="E38" i="6"/>
  <c r="CD37" i="6" a="1"/>
  <c r="CD37" i="6" s="1"/>
  <c r="CD64" i="6" s="1"/>
  <c r="BY37" i="6"/>
  <c r="CD36" i="6" a="1"/>
  <c r="CD36" i="6"/>
  <c r="CD63" i="6" s="1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D34" i="6"/>
  <c r="BY34" i="6"/>
  <c r="CD33" i="6"/>
  <c r="BY33" i="6"/>
  <c r="CD32" i="6"/>
  <c r="BY32" i="6"/>
  <c r="CD31" i="6"/>
  <c r="BY31" i="6"/>
  <c r="CD30" i="6"/>
  <c r="BY30" i="6"/>
  <c r="CD29" i="6"/>
  <c r="BY29" i="6"/>
  <c r="CD28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D26" i="6"/>
  <c r="CD25" i="6"/>
  <c r="V25" i="6"/>
  <c r="S25" i="6"/>
  <c r="R25" i="6"/>
  <c r="Q25" i="6"/>
  <c r="P25" i="6"/>
  <c r="BY25" i="6" s="1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U24" i="6"/>
  <c r="T24" i="6"/>
  <c r="S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J20" i="6"/>
  <c r="BY20" i="6" s="1"/>
  <c r="L19" i="6"/>
  <c r="BX18" i="6"/>
  <c r="BW18" i="6"/>
  <c r="BW81" i="6" s="1"/>
  <c r="BV18" i="6"/>
  <c r="BV81" i="6" s="1"/>
  <c r="BU18" i="6"/>
  <c r="BU81" i="6" s="1"/>
  <c r="BT18" i="6"/>
  <c r="BS18" i="6"/>
  <c r="BR18" i="6"/>
  <c r="BQ18" i="6"/>
  <c r="BP18" i="6"/>
  <c r="BO18" i="6"/>
  <c r="BO81" i="6" s="1"/>
  <c r="BN18" i="6"/>
  <c r="BN81" i="6" s="1"/>
  <c r="BM18" i="6"/>
  <c r="BM81" i="6" s="1"/>
  <c r="BL18" i="6"/>
  <c r="BK18" i="6"/>
  <c r="BJ18" i="6"/>
  <c r="BI18" i="6"/>
  <c r="BH18" i="6"/>
  <c r="BG18" i="6"/>
  <c r="BG81" i="6" s="1"/>
  <c r="BF18" i="6"/>
  <c r="BF81" i="6" s="1"/>
  <c r="BE18" i="6"/>
  <c r="BE81" i="6" s="1"/>
  <c r="BD18" i="6"/>
  <c r="BC18" i="6"/>
  <c r="BB18" i="6"/>
  <c r="BA18" i="6"/>
  <c r="AZ18" i="6"/>
  <c r="AY18" i="6"/>
  <c r="AY81" i="6" s="1"/>
  <c r="AX18" i="6"/>
  <c r="AX81" i="6" s="1"/>
  <c r="AW18" i="6"/>
  <c r="AW81" i="6" s="1"/>
  <c r="AV18" i="6"/>
  <c r="AU18" i="6"/>
  <c r="AT18" i="6"/>
  <c r="AS18" i="6"/>
  <c r="AR18" i="6"/>
  <c r="AQ18" i="6"/>
  <c r="AQ81" i="6" s="1"/>
  <c r="AP18" i="6"/>
  <c r="AP81" i="6" s="1"/>
  <c r="AO18" i="6"/>
  <c r="AO81" i="6" s="1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T18" i="6"/>
  <c r="S18" i="6"/>
  <c r="R18" i="6"/>
  <c r="Q18" i="6"/>
  <c r="P18" i="6"/>
  <c r="N18" i="6"/>
  <c r="M18" i="6"/>
  <c r="L18" i="6"/>
  <c r="K18" i="6"/>
  <c r="I18" i="6"/>
  <c r="H18" i="6"/>
  <c r="G18" i="6"/>
  <c r="G81" i="6" s="1"/>
  <c r="F18" i="6"/>
  <c r="E18" i="6"/>
  <c r="BX17" i="6"/>
  <c r="BW17" i="6"/>
  <c r="BV17" i="6"/>
  <c r="BV83" i="6" s="1"/>
  <c r="BU17" i="6"/>
  <c r="BU83" i="6" s="1"/>
  <c r="BT17" i="6"/>
  <c r="BS17" i="6"/>
  <c r="BR17" i="6"/>
  <c r="BQ17" i="6"/>
  <c r="BP17" i="6"/>
  <c r="BO17" i="6"/>
  <c r="BN17" i="6"/>
  <c r="BN83" i="6" s="1"/>
  <c r="BM17" i="6"/>
  <c r="BM83" i="6" s="1"/>
  <c r="BL17" i="6"/>
  <c r="BK17" i="6"/>
  <c r="BJ17" i="6"/>
  <c r="BI17" i="6"/>
  <c r="BH17" i="6"/>
  <c r="BG17" i="6"/>
  <c r="BF17" i="6"/>
  <c r="BF83" i="6" s="1"/>
  <c r="BE17" i="6"/>
  <c r="BE83" i="6" s="1"/>
  <c r="BD17" i="6"/>
  <c r="BC17" i="6"/>
  <c r="BB17" i="6"/>
  <c r="BA17" i="6"/>
  <c r="AZ17" i="6"/>
  <c r="AY17" i="6"/>
  <c r="AX17" i="6"/>
  <c r="AX83" i="6" s="1"/>
  <c r="AW17" i="6"/>
  <c r="AW83" i="6" s="1"/>
  <c r="AV17" i="6"/>
  <c r="AU17" i="6"/>
  <c r="AT17" i="6"/>
  <c r="AS17" i="6"/>
  <c r="AR17" i="6"/>
  <c r="AQ17" i="6"/>
  <c r="AP17" i="6"/>
  <c r="AP83" i="6" s="1"/>
  <c r="AO17" i="6"/>
  <c r="AO83" i="6" s="1"/>
  <c r="AN17" i="6"/>
  <c r="AM17" i="6"/>
  <c r="AL17" i="6"/>
  <c r="AK17" i="6"/>
  <c r="AJ17" i="6"/>
  <c r="J17" i="6"/>
  <c r="I17" i="6"/>
  <c r="H17" i="6"/>
  <c r="G17" i="6"/>
  <c r="F17" i="6"/>
  <c r="E17" i="6"/>
  <c r="AG16" i="6"/>
  <c r="K16" i="6"/>
  <c r="M14" i="6"/>
  <c r="BY10" i="6"/>
  <c r="CD10" i="6" s="1"/>
  <c r="BY9" i="6"/>
  <c r="BY8" i="6"/>
  <c r="CD8" i="6" s="1"/>
  <c r="CD52" i="6" s="1"/>
  <c r="BY7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T6" i="6"/>
  <c r="R6" i="6"/>
  <c r="Q6" i="6"/>
  <c r="P6" i="6"/>
  <c r="U5" i="6"/>
  <c r="S5" i="6"/>
  <c r="L5" i="6"/>
  <c r="K5" i="6"/>
  <c r="E10" i="4"/>
  <c r="D10" i="4"/>
  <c r="B10" i="4"/>
  <c r="C10" i="4" s="1"/>
  <c r="A10" i="4"/>
  <c r="E9" i="4"/>
  <c r="D9" i="4"/>
  <c r="B9" i="4"/>
  <c r="C9" i="4" s="1"/>
  <c r="A9" i="4"/>
  <c r="E8" i="4"/>
  <c r="D8" i="4"/>
  <c r="B8" i="4"/>
  <c r="C8" i="4" s="1"/>
  <c r="A8" i="4"/>
  <c r="D7" i="4"/>
  <c r="B7" i="4"/>
  <c r="A7" i="4"/>
  <c r="D6" i="4"/>
  <c r="B6" i="4"/>
  <c r="A6" i="4"/>
  <c r="D5" i="4"/>
  <c r="B5" i="4"/>
  <c r="A5" i="4"/>
  <c r="E4" i="4"/>
  <c r="D4" i="4"/>
  <c r="B4" i="4"/>
  <c r="C4" i="4" s="1"/>
  <c r="A4" i="4"/>
  <c r="E3" i="4"/>
  <c r="D3" i="4"/>
  <c r="B3" i="4"/>
  <c r="A3" i="4"/>
  <c r="D2" i="4"/>
  <c r="G1" i="4"/>
  <c r="B1" i="4"/>
  <c r="B10" i="3"/>
  <c r="B9" i="3"/>
  <c r="B8" i="3"/>
  <c r="B7" i="3"/>
  <c r="F6" i="3"/>
  <c r="E7" i="4" s="1"/>
  <c r="B6" i="3"/>
  <c r="F5" i="3"/>
  <c r="E6" i="4" s="1"/>
  <c r="B5" i="3"/>
  <c r="F4" i="3"/>
  <c r="E5" i="4" s="1"/>
  <c r="B4" i="3"/>
  <c r="B2" i="3"/>
  <c r="C89" i="2"/>
  <c r="F80" i="2"/>
  <c r="B80" i="2"/>
  <c r="B79" i="2"/>
  <c r="B78" i="2"/>
  <c r="B77" i="2"/>
  <c r="B76" i="2"/>
  <c r="B73" i="2"/>
  <c r="B68" i="2"/>
  <c r="B67" i="2"/>
  <c r="B66" i="2"/>
  <c r="B65" i="2"/>
  <c r="B64" i="2"/>
  <c r="B63" i="2"/>
  <c r="B62" i="2"/>
  <c r="B61" i="2"/>
  <c r="B60" i="2"/>
  <c r="B59" i="2"/>
  <c r="B55" i="2"/>
  <c r="B54" i="2"/>
  <c r="B52" i="2"/>
  <c r="R49" i="2"/>
  <c r="R50" i="2" s="1"/>
  <c r="R51" i="2" s="1"/>
  <c r="R52" i="2" s="1"/>
  <c r="B46" i="2"/>
  <c r="B44" i="2"/>
  <c r="B39" i="2"/>
  <c r="F38" i="2"/>
  <c r="AK16" i="9" s="1"/>
  <c r="B37" i="2"/>
  <c r="B36" i="2"/>
  <c r="B35" i="2"/>
  <c r="B34" i="2"/>
  <c r="B29" i="2"/>
  <c r="J27" i="2"/>
  <c r="J28" i="2" s="1"/>
  <c r="B27" i="2"/>
  <c r="B22" i="2"/>
  <c r="F19" i="2"/>
  <c r="E19" i="2"/>
  <c r="B19" i="2"/>
  <c r="B17" i="2"/>
  <c r="Q39" i="2" s="1"/>
  <c r="M16" i="2"/>
  <c r="K16" i="2"/>
  <c r="J16" i="2"/>
  <c r="I16" i="2"/>
  <c r="M15" i="2"/>
  <c r="K15" i="2"/>
  <c r="J15" i="2"/>
  <c r="I15" i="2"/>
  <c r="R14" i="2"/>
  <c r="F79" i="2" s="1"/>
  <c r="M14" i="2"/>
  <c r="K14" i="2"/>
  <c r="J14" i="2"/>
  <c r="I14" i="2"/>
  <c r="M13" i="2"/>
  <c r="K13" i="2"/>
  <c r="J13" i="2"/>
  <c r="I13" i="2"/>
  <c r="B13" i="2"/>
  <c r="K12" i="2"/>
  <c r="J12" i="2"/>
  <c r="I12" i="2"/>
  <c r="B12" i="2"/>
  <c r="K11" i="2"/>
  <c r="J11" i="2"/>
  <c r="I11" i="2"/>
  <c r="F11" i="2"/>
  <c r="B11" i="2"/>
  <c r="K10" i="2"/>
  <c r="J10" i="2"/>
  <c r="I10" i="2"/>
  <c r="D10" i="2"/>
  <c r="B10" i="2"/>
  <c r="K9" i="2"/>
  <c r="J9" i="2"/>
  <c r="I9" i="2"/>
  <c r="F9" i="2"/>
  <c r="F13" i="2" s="1"/>
  <c r="K8" i="2"/>
  <c r="J8" i="2"/>
  <c r="J17" i="2" s="1"/>
  <c r="I8" i="2"/>
  <c r="B8" i="2"/>
  <c r="Q36" i="2" s="1"/>
  <c r="E18" i="1"/>
  <c r="F12" i="1"/>
  <c r="M11" i="1"/>
  <c r="N11" i="1" s="1"/>
  <c r="I11" i="1"/>
  <c r="J11" i="1" s="1"/>
  <c r="M10" i="1"/>
  <c r="N10" i="1" s="1"/>
  <c r="I10" i="1"/>
  <c r="M9" i="1"/>
  <c r="N9" i="1" s="1"/>
  <c r="I9" i="1"/>
  <c r="M8" i="1"/>
  <c r="N8" i="1" s="1"/>
  <c r="I8" i="1"/>
  <c r="M7" i="1"/>
  <c r="N7" i="1" s="1"/>
  <c r="I7" i="1"/>
  <c r="N6" i="1"/>
  <c r="L6" i="1"/>
  <c r="I6" i="1"/>
  <c r="L5" i="1"/>
  <c r="I5" i="1"/>
  <c r="L4" i="1"/>
  <c r="I4" i="1"/>
  <c r="L3" i="1"/>
  <c r="I3" i="1"/>
  <c r="I2" i="1"/>
  <c r="F46" i="2" l="1"/>
  <c r="N14" i="6"/>
  <c r="M14" i="8"/>
  <c r="P14" i="8"/>
  <c r="P17" i="8" s="1"/>
  <c r="U14" i="8"/>
  <c r="W15" i="8" s="1"/>
  <c r="P14" i="10"/>
  <c r="P17" i="10" s="1"/>
  <c r="P83" i="10" s="1"/>
  <c r="Q14" i="10"/>
  <c r="M14" i="12"/>
  <c r="Q14" i="12"/>
  <c r="R14" i="12"/>
  <c r="T15" i="12" s="1"/>
  <c r="AF55" i="9"/>
  <c r="AD55" i="9"/>
  <c r="AE55" i="9"/>
  <c r="I81" i="6"/>
  <c r="I82" i="8"/>
  <c r="Q82" i="8"/>
  <c r="G83" i="6"/>
  <c r="H81" i="6"/>
  <c r="AP84" i="8"/>
  <c r="AX84" i="8"/>
  <c r="BF84" i="8"/>
  <c r="BN84" i="8"/>
  <c r="BV84" i="8"/>
  <c r="J82" i="8"/>
  <c r="AQ82" i="8"/>
  <c r="AY82" i="8"/>
  <c r="AY84" i="8" s="1"/>
  <c r="BG82" i="8"/>
  <c r="BG84" i="8" s="1"/>
  <c r="BO82" i="8"/>
  <c r="BO84" i="8" s="1"/>
  <c r="BW82" i="8"/>
  <c r="BW84" i="8" s="1"/>
  <c r="BY62" i="8"/>
  <c r="E83" i="10"/>
  <c r="E84" i="10" s="1"/>
  <c r="L81" i="10"/>
  <c r="J83" i="12"/>
  <c r="Q81" i="12"/>
  <c r="R39" i="8"/>
  <c r="R14" i="8" s="1"/>
  <c r="R17" i="8" s="1"/>
  <c r="H83" i="6"/>
  <c r="AT83" i="10"/>
  <c r="BB83" i="10"/>
  <c r="BJ83" i="10"/>
  <c r="BR83" i="10"/>
  <c r="F81" i="10"/>
  <c r="N81" i="10"/>
  <c r="N83" i="10" s="1"/>
  <c r="AV81" i="10"/>
  <c r="AV83" i="10" s="1"/>
  <c r="BD81" i="10"/>
  <c r="BD83" i="10" s="1"/>
  <c r="BL81" i="10"/>
  <c r="BL83" i="10" s="1"/>
  <c r="BT81" i="10"/>
  <c r="AQ83" i="12"/>
  <c r="AY83" i="12"/>
  <c r="BG83" i="12"/>
  <c r="BO83" i="12"/>
  <c r="BW83" i="12"/>
  <c r="K81" i="12"/>
  <c r="S81" i="12"/>
  <c r="I83" i="6"/>
  <c r="J18" i="6"/>
  <c r="J81" i="6" s="1"/>
  <c r="J83" i="6" s="1"/>
  <c r="AJ81" i="6"/>
  <c r="AR81" i="6"/>
  <c r="AZ81" i="6"/>
  <c r="AZ83" i="6" s="1"/>
  <c r="BH81" i="6"/>
  <c r="BP81" i="6"/>
  <c r="BP83" i="6" s="1"/>
  <c r="BX81" i="6"/>
  <c r="AR84" i="8"/>
  <c r="AZ84" i="8"/>
  <c r="BH84" i="8"/>
  <c r="BP84" i="8"/>
  <c r="BX84" i="8"/>
  <c r="L82" i="8"/>
  <c r="AK82" i="8"/>
  <c r="AS82" i="8"/>
  <c r="BA82" i="8"/>
  <c r="BA84" i="8" s="1"/>
  <c r="BI82" i="8"/>
  <c r="BQ82" i="8"/>
  <c r="BQ84" i="8" s="1"/>
  <c r="AQ83" i="6"/>
  <c r="AY83" i="6"/>
  <c r="BG83" i="6"/>
  <c r="BO83" i="6"/>
  <c r="BW83" i="6"/>
  <c r="K81" i="6"/>
  <c r="AK81" i="6"/>
  <c r="AS81" i="6"/>
  <c r="BA81" i="6"/>
  <c r="BI81" i="6"/>
  <c r="BQ81" i="6"/>
  <c r="I84" i="8"/>
  <c r="AS84" i="8"/>
  <c r="BI84" i="8"/>
  <c r="E82" i="8"/>
  <c r="E83" i="8" s="1"/>
  <c r="M82" i="8"/>
  <c r="U82" i="8"/>
  <c r="AL82" i="8"/>
  <c r="AT82" i="8"/>
  <c r="BB82" i="8"/>
  <c r="BJ82" i="8"/>
  <c r="BR82" i="8"/>
  <c r="H83" i="10"/>
  <c r="AU83" i="10"/>
  <c r="BC83" i="10"/>
  <c r="BK83" i="10"/>
  <c r="BS83" i="10"/>
  <c r="G81" i="10"/>
  <c r="G83" i="10" s="1"/>
  <c r="O81" i="10"/>
  <c r="AW81" i="10"/>
  <c r="BE81" i="10"/>
  <c r="BE83" i="10" s="1"/>
  <c r="BM81" i="10"/>
  <c r="BU81" i="10"/>
  <c r="L81" i="12"/>
  <c r="BJ81" i="6"/>
  <c r="BJ84" i="8"/>
  <c r="BF81" i="10"/>
  <c r="BV81" i="10"/>
  <c r="E81" i="12"/>
  <c r="M81" i="12"/>
  <c r="AQ84" i="8"/>
  <c r="AJ83" i="6"/>
  <c r="AR83" i="6"/>
  <c r="L81" i="6"/>
  <c r="AT81" i="6"/>
  <c r="AT83" i="6" s="1"/>
  <c r="J84" i="8"/>
  <c r="AT84" i="8"/>
  <c r="BB84" i="8"/>
  <c r="BR84" i="8"/>
  <c r="N82" i="8"/>
  <c r="N84" i="8" s="1"/>
  <c r="AM82" i="8"/>
  <c r="AU82" i="8"/>
  <c r="BC82" i="8"/>
  <c r="BK82" i="8"/>
  <c r="BS82" i="8"/>
  <c r="BT83" i="10"/>
  <c r="AP81" i="10"/>
  <c r="AP83" i="10" s="1"/>
  <c r="BN81" i="10"/>
  <c r="AK83" i="6"/>
  <c r="AS83" i="6"/>
  <c r="BA83" i="6"/>
  <c r="BI83" i="6"/>
  <c r="BQ83" i="6"/>
  <c r="E81" i="6"/>
  <c r="E82" i="6" s="1"/>
  <c r="M81" i="6"/>
  <c r="AM81" i="6"/>
  <c r="AM83" i="6" s="1"/>
  <c r="AU81" i="6"/>
  <c r="AU83" i="6" s="1"/>
  <c r="BC81" i="6"/>
  <c r="BC83" i="6" s="1"/>
  <c r="BK81" i="6"/>
  <c r="BK83" i="6" s="1"/>
  <c r="BS81" i="6"/>
  <c r="BS83" i="6" s="1"/>
  <c r="AM84" i="8"/>
  <c r="AU84" i="8"/>
  <c r="BC84" i="8"/>
  <c r="BK84" i="8"/>
  <c r="BS84" i="8"/>
  <c r="G82" i="8"/>
  <c r="G84" i="8" s="1"/>
  <c r="O82" i="8"/>
  <c r="AN82" i="8"/>
  <c r="AV82" i="8"/>
  <c r="AV84" i="8" s="1"/>
  <c r="BD82" i="8"/>
  <c r="BL82" i="8"/>
  <c r="BL84" i="8" s="1"/>
  <c r="BT82" i="8"/>
  <c r="K49" i="8"/>
  <c r="K82" i="8" s="1"/>
  <c r="AW83" i="10"/>
  <c r="BM83" i="10"/>
  <c r="BU83" i="10"/>
  <c r="I81" i="10"/>
  <c r="I83" i="10" s="1"/>
  <c r="Q81" i="10"/>
  <c r="AQ81" i="10"/>
  <c r="AQ83" i="10" s="1"/>
  <c r="AY81" i="10"/>
  <c r="AY83" i="10" s="1"/>
  <c r="BG81" i="10"/>
  <c r="BG83" i="10" s="1"/>
  <c r="BO81" i="10"/>
  <c r="BW81" i="10"/>
  <c r="AT83" i="12"/>
  <c r="BB83" i="12"/>
  <c r="BJ83" i="12"/>
  <c r="BR83" i="12"/>
  <c r="F81" i="12"/>
  <c r="F83" i="12" s="1"/>
  <c r="AU81" i="12"/>
  <c r="BC81" i="12"/>
  <c r="BK81" i="12"/>
  <c r="BS81" i="12"/>
  <c r="BS83" i="12" s="1"/>
  <c r="N38" i="12"/>
  <c r="N14" i="12" s="1"/>
  <c r="N17" i="12" s="1"/>
  <c r="BH83" i="6"/>
  <c r="BX83" i="6"/>
  <c r="AL81" i="6"/>
  <c r="BB81" i="6"/>
  <c r="BB83" i="6" s="1"/>
  <c r="BR81" i="6"/>
  <c r="BR83" i="6" s="1"/>
  <c r="F82" i="8"/>
  <c r="F84" i="8" s="1"/>
  <c r="AX81" i="10"/>
  <c r="AX83" i="10" s="1"/>
  <c r="E83" i="6"/>
  <c r="E84" i="6" s="1"/>
  <c r="AL83" i="6"/>
  <c r="BJ83" i="6"/>
  <c r="F81" i="6"/>
  <c r="F83" i="6" s="1"/>
  <c r="F84" i="6" s="1"/>
  <c r="G84" i="6" s="1"/>
  <c r="H84" i="6" s="1"/>
  <c r="I84" i="6" s="1"/>
  <c r="N81" i="6"/>
  <c r="AN81" i="6"/>
  <c r="AN83" i="6" s="1"/>
  <c r="AV81" i="6"/>
  <c r="AV83" i="6" s="1"/>
  <c r="BD81" i="6"/>
  <c r="BD83" i="6" s="1"/>
  <c r="BL81" i="6"/>
  <c r="BL83" i="6" s="1"/>
  <c r="BT81" i="6"/>
  <c r="BT83" i="6" s="1"/>
  <c r="AN84" i="8"/>
  <c r="BD84" i="8"/>
  <c r="BT84" i="8"/>
  <c r="H82" i="8"/>
  <c r="H84" i="8" s="1"/>
  <c r="P82" i="8"/>
  <c r="P84" i="8" s="1"/>
  <c r="AO82" i="8"/>
  <c r="AO84" i="8" s="1"/>
  <c r="AW82" i="8"/>
  <c r="AW84" i="8" s="1"/>
  <c r="BE82" i="8"/>
  <c r="BE84" i="8" s="1"/>
  <c r="BM82" i="8"/>
  <c r="BM84" i="8" s="1"/>
  <c r="BU82" i="8"/>
  <c r="BU84" i="8" s="1"/>
  <c r="T24" i="8"/>
  <c r="T14" i="8" s="1"/>
  <c r="BF83" i="10"/>
  <c r="BN83" i="10"/>
  <c r="BV83" i="10"/>
  <c r="J18" i="10"/>
  <c r="J81" i="10" s="1"/>
  <c r="J83" i="10" s="1"/>
  <c r="R81" i="10"/>
  <c r="AR81" i="10"/>
  <c r="AR83" i="10" s="1"/>
  <c r="AZ81" i="10"/>
  <c r="AZ83" i="10" s="1"/>
  <c r="BH81" i="10"/>
  <c r="BH83" i="10" s="1"/>
  <c r="BP81" i="10"/>
  <c r="BP83" i="10" s="1"/>
  <c r="BX81" i="10"/>
  <c r="BX83" i="10" s="1"/>
  <c r="AU83" i="12"/>
  <c r="BC83" i="12"/>
  <c r="BK83" i="12"/>
  <c r="G81" i="12"/>
  <c r="G83" i="12" s="1"/>
  <c r="O81" i="12"/>
  <c r="AV81" i="12"/>
  <c r="AV83" i="12" s="1"/>
  <c r="BD81" i="12"/>
  <c r="BL81" i="12"/>
  <c r="BT81" i="12"/>
  <c r="BT83" i="12" s="1"/>
  <c r="BO83" i="10"/>
  <c r="BW83" i="10"/>
  <c r="AS81" i="10"/>
  <c r="AS83" i="10" s="1"/>
  <c r="BA81" i="10"/>
  <c r="BA83" i="10" s="1"/>
  <c r="BI81" i="10"/>
  <c r="BI83" i="10" s="1"/>
  <c r="BQ81" i="10"/>
  <c r="BQ83" i="10" s="1"/>
  <c r="U27" i="10"/>
  <c r="K48" i="10"/>
  <c r="K81" i="10" s="1"/>
  <c r="I83" i="12"/>
  <c r="BD83" i="12"/>
  <c r="BL83" i="12"/>
  <c r="H81" i="12"/>
  <c r="H83" i="12" s="1"/>
  <c r="P81" i="12"/>
  <c r="P83" i="12" s="1"/>
  <c r="AW81" i="12"/>
  <c r="AW83" i="12" s="1"/>
  <c r="BE81" i="12"/>
  <c r="BE83" i="12" s="1"/>
  <c r="BM81" i="12"/>
  <c r="BM83" i="12" s="1"/>
  <c r="BU81" i="12"/>
  <c r="BU83" i="12" s="1"/>
  <c r="U27" i="12"/>
  <c r="BY32" i="9"/>
  <c r="AM44" i="9"/>
  <c r="AL44" i="9"/>
  <c r="AJ44" i="9"/>
  <c r="AK44" i="9"/>
  <c r="AI44" i="9"/>
  <c r="AI39" i="9" s="1"/>
  <c r="AI14" i="9" s="1"/>
  <c r="AK15" i="9" s="1"/>
  <c r="L8" i="17"/>
  <c r="L8" i="2"/>
  <c r="J2" i="1"/>
  <c r="M8" i="17"/>
  <c r="M8" i="2"/>
  <c r="M2" i="1"/>
  <c r="L9" i="17"/>
  <c r="L9" i="2"/>
  <c r="J3" i="1"/>
  <c r="M9" i="17"/>
  <c r="M9" i="2"/>
  <c r="M3" i="1"/>
  <c r="N3" i="1" s="1"/>
  <c r="L10" i="17"/>
  <c r="L10" i="2"/>
  <c r="J4" i="1"/>
  <c r="M10" i="17"/>
  <c r="M10" i="2"/>
  <c r="M4" i="1"/>
  <c r="N4" i="1" s="1"/>
  <c r="L11" i="17"/>
  <c r="L11" i="2"/>
  <c r="J5" i="1"/>
  <c r="M11" i="17"/>
  <c r="M11" i="2"/>
  <c r="M5" i="1"/>
  <c r="N5" i="1" s="1"/>
  <c r="L12" i="17"/>
  <c r="L12" i="2"/>
  <c r="J6" i="1"/>
  <c r="M12" i="17"/>
  <c r="M12" i="2"/>
  <c r="L13" i="17"/>
  <c r="L13" i="2"/>
  <c r="J7" i="1"/>
  <c r="L14" i="17"/>
  <c r="L14" i="2"/>
  <c r="J8" i="1"/>
  <c r="L15" i="17"/>
  <c r="L15" i="2"/>
  <c r="J9" i="1"/>
  <c r="L16" i="17"/>
  <c r="L16" i="2"/>
  <c r="J10" i="1"/>
  <c r="O11" i="1"/>
  <c r="K11" i="1"/>
  <c r="P11" i="1" s="1"/>
  <c r="N25" i="2"/>
  <c r="F12" i="2"/>
  <c r="F36" i="2"/>
  <c r="F30" i="2"/>
  <c r="S23" i="10"/>
  <c r="BY23" i="10" s="1"/>
  <c r="O23" i="6"/>
  <c r="BY23" i="6" s="1"/>
  <c r="E13" i="2"/>
  <c r="S21" i="10"/>
  <c r="O21" i="6"/>
  <c r="AO16" i="12"/>
  <c r="AO16" i="10"/>
  <c r="AH16" i="8"/>
  <c r="BX3" i="12"/>
  <c r="BW3" i="12"/>
  <c r="BV3" i="12"/>
  <c r="BU3" i="12"/>
  <c r="BT3" i="12"/>
  <c r="BS3" i="12"/>
  <c r="BR3" i="12"/>
  <c r="BQ3" i="12"/>
  <c r="BP3" i="12"/>
  <c r="BO3" i="12"/>
  <c r="BN3" i="12"/>
  <c r="BM3" i="12"/>
  <c r="BL3" i="12"/>
  <c r="BK3" i="12"/>
  <c r="BJ3" i="12"/>
  <c r="BI3" i="12"/>
  <c r="BH3" i="12"/>
  <c r="BG3" i="12"/>
  <c r="BF3" i="12"/>
  <c r="BE3" i="12"/>
  <c r="BD3" i="12"/>
  <c r="BC3" i="12"/>
  <c r="BB3" i="12"/>
  <c r="BA3" i="12"/>
  <c r="AZ3" i="12"/>
  <c r="AY3" i="12"/>
  <c r="AX3" i="12"/>
  <c r="AW3" i="12"/>
  <c r="AV3" i="12"/>
  <c r="AU3" i="12"/>
  <c r="AT3" i="12"/>
  <c r="AS3" i="12"/>
  <c r="AR3" i="12"/>
  <c r="AQ3" i="12"/>
  <c r="AP3" i="12"/>
  <c r="AO3" i="12"/>
  <c r="AN3" i="12"/>
  <c r="AM3" i="12"/>
  <c r="AL3" i="12"/>
  <c r="AK3" i="12"/>
  <c r="AJ3" i="12"/>
  <c r="AI3" i="12"/>
  <c r="AH3" i="12"/>
  <c r="AG3" i="12"/>
  <c r="AF3" i="12"/>
  <c r="AE3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O3" i="12"/>
  <c r="N3" i="12"/>
  <c r="M3" i="12"/>
  <c r="L3" i="12"/>
  <c r="K3" i="12"/>
  <c r="J3" i="12"/>
  <c r="I3" i="12"/>
  <c r="H3" i="12"/>
  <c r="G3" i="12"/>
  <c r="F3" i="12"/>
  <c r="E3" i="12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C3" i="4"/>
  <c r="F3" i="4" s="1"/>
  <c r="G3" i="4"/>
  <c r="F4" i="4"/>
  <c r="G4" i="4"/>
  <c r="C5" i="4"/>
  <c r="F5" i="4" s="1"/>
  <c r="G5" i="4" s="1"/>
  <c r="C6" i="4"/>
  <c r="F6" i="4" s="1"/>
  <c r="G6" i="4" s="1"/>
  <c r="C7" i="4"/>
  <c r="F7" i="4" s="1"/>
  <c r="G7" i="4" s="1"/>
  <c r="F8" i="4"/>
  <c r="G8" i="4"/>
  <c r="F9" i="4"/>
  <c r="G9" i="4"/>
  <c r="F10" i="4"/>
  <c r="G10" i="4"/>
  <c r="K3" i="15"/>
  <c r="K37" i="15" s="1"/>
  <c r="K97" i="6"/>
  <c r="K17" i="6"/>
  <c r="K83" i="6" s="1"/>
  <c r="O6" i="6"/>
  <c r="BY5" i="6"/>
  <c r="L3" i="15"/>
  <c r="L37" i="15" s="1"/>
  <c r="L97" i="6"/>
  <c r="L17" i="6"/>
  <c r="L83" i="6" s="1"/>
  <c r="S3" i="15"/>
  <c r="S97" i="6"/>
  <c r="S6" i="6"/>
  <c r="U3" i="15"/>
  <c r="U97" i="6"/>
  <c r="U6" i="6"/>
  <c r="P4" i="15"/>
  <c r="P113" i="6"/>
  <c r="Q4" i="15"/>
  <c r="Q113" i="6"/>
  <c r="R4" i="15"/>
  <c r="R113" i="6"/>
  <c r="T4" i="15"/>
  <c r="T113" i="6"/>
  <c r="V4" i="15"/>
  <c r="V113" i="6"/>
  <c r="W4" i="15"/>
  <c r="W113" i="6"/>
  <c r="X4" i="15"/>
  <c r="X113" i="6"/>
  <c r="Y4" i="15"/>
  <c r="Y113" i="6"/>
  <c r="Z4" i="15"/>
  <c r="Z113" i="6"/>
  <c r="AA4" i="15"/>
  <c r="AA113" i="6"/>
  <c r="AB4" i="15"/>
  <c r="AB113" i="6"/>
  <c r="AC4" i="15"/>
  <c r="AC113" i="6"/>
  <c r="AD4" i="15"/>
  <c r="AD113" i="6"/>
  <c r="AE4" i="15"/>
  <c r="AE113" i="6"/>
  <c r="AF4" i="15"/>
  <c r="AF113" i="6"/>
  <c r="AG4" i="15"/>
  <c r="AG113" i="6"/>
  <c r="AH4" i="15"/>
  <c r="AH113" i="6"/>
  <c r="AI57" i="6"/>
  <c r="CD7" i="6"/>
  <c r="M17" i="6"/>
  <c r="O15" i="6"/>
  <c r="N17" i="6"/>
  <c r="P15" i="6"/>
  <c r="U16" i="6"/>
  <c r="U19" i="6"/>
  <c r="AA51" i="6"/>
  <c r="U24" i="15"/>
  <c r="U75" i="6"/>
  <c r="F104" i="6"/>
  <c r="F119" i="6"/>
  <c r="E135" i="6"/>
  <c r="F135" i="6" s="1"/>
  <c r="G135" i="6" s="1"/>
  <c r="H135" i="6" s="1"/>
  <c r="I135" i="6" s="1"/>
  <c r="J135" i="6" s="1"/>
  <c r="K135" i="6" s="1"/>
  <c r="L135" i="6" s="1"/>
  <c r="M135" i="6" s="1"/>
  <c r="E152" i="6"/>
  <c r="F152" i="6" s="1"/>
  <c r="G152" i="6" s="1"/>
  <c r="H152" i="6" s="1"/>
  <c r="I152" i="6" s="1"/>
  <c r="J152" i="6" s="1"/>
  <c r="K152" i="6" s="1"/>
  <c r="L152" i="6" s="1"/>
  <c r="M152" i="6" s="1"/>
  <c r="K98" i="8"/>
  <c r="K17" i="8"/>
  <c r="CA11" i="8"/>
  <c r="BY5" i="8"/>
  <c r="L98" i="8"/>
  <c r="L17" i="8"/>
  <c r="L84" i="8" s="1"/>
  <c r="O98" i="8"/>
  <c r="U98" i="8"/>
  <c r="U17" i="8"/>
  <c r="U84" i="8" s="1"/>
  <c r="W98" i="8"/>
  <c r="Z98" i="8"/>
  <c r="Q114" i="8"/>
  <c r="Q119" i="8" s="1"/>
  <c r="Q17" i="8"/>
  <c r="Q84" i="8" s="1"/>
  <c r="BY6" i="8"/>
  <c r="R114" i="8"/>
  <c r="Y114" i="8"/>
  <c r="AA114" i="8"/>
  <c r="AB114" i="8"/>
  <c r="AD114" i="8"/>
  <c r="AE114" i="8"/>
  <c r="AF114" i="8"/>
  <c r="AG114" i="8"/>
  <c r="AH114" i="8"/>
  <c r="AI114" i="8"/>
  <c r="AK114" i="8"/>
  <c r="AK119" i="8" s="1"/>
  <c r="AK17" i="8"/>
  <c r="AK84" i="8" s="1"/>
  <c r="AL114" i="8"/>
  <c r="AL119" i="8" s="1"/>
  <c r="AL17" i="8"/>
  <c r="AL84" i="8" s="1"/>
  <c r="CD52" i="8"/>
  <c r="BY10" i="8"/>
  <c r="CD11" i="8"/>
  <c r="CD56" i="8" s="1"/>
  <c r="M17" i="8"/>
  <c r="M84" i="8" s="1"/>
  <c r="O15" i="8"/>
  <c r="T17" i="8"/>
  <c r="V15" i="8"/>
  <c r="BY16" i="8"/>
  <c r="CD16" i="8" s="1"/>
  <c r="W19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Q100" i="8"/>
  <c r="Q98" i="8"/>
  <c r="F105" i="8"/>
  <c r="F120" i="8"/>
  <c r="K98" i="9"/>
  <c r="K17" i="9"/>
  <c r="K84" i="9" s="1"/>
  <c r="BY5" i="9"/>
  <c r="L98" i="9"/>
  <c r="L17" i="9"/>
  <c r="L84" i="9" s="1"/>
  <c r="O98" i="9"/>
  <c r="U98" i="9"/>
  <c r="U17" i="9"/>
  <c r="U84" i="9" s="1"/>
  <c r="V98" i="9"/>
  <c r="V17" i="9"/>
  <c r="V84" i="9" s="1"/>
  <c r="W98" i="9"/>
  <c r="X98" i="9"/>
  <c r="Q114" i="9"/>
  <c r="Q119" i="9" s="1"/>
  <c r="Q17" i="9"/>
  <c r="Q84" i="9" s="1"/>
  <c r="BY6" i="9"/>
  <c r="AM76" i="9" s="1"/>
  <c r="AM114" i="9" s="1"/>
  <c r="R114" i="9"/>
  <c r="R17" i="9"/>
  <c r="R84" i="9" s="1"/>
  <c r="AB114" i="9"/>
  <c r="AF114" i="9"/>
  <c r="AG114" i="9"/>
  <c r="AH114" i="9"/>
  <c r="AL114" i="9"/>
  <c r="AJ62" i="9"/>
  <c r="AJ10" i="9" s="1"/>
  <c r="AI62" i="9"/>
  <c r="AI10" i="9" s="1"/>
  <c r="BY11" i="9"/>
  <c r="M17" i="9"/>
  <c r="M84" i="9" s="1"/>
  <c r="O15" i="9"/>
  <c r="F85" i="9"/>
  <c r="G85" i="9"/>
  <c r="H85" i="9"/>
  <c r="I85" i="9"/>
  <c r="J85" i="9"/>
  <c r="N86" i="9"/>
  <c r="O83" i="9"/>
  <c r="P83" i="9" s="1"/>
  <c r="Q83" i="9" s="1"/>
  <c r="R83" i="9" s="1"/>
  <c r="S83" i="9" s="1"/>
  <c r="T83" i="9" s="1"/>
  <c r="U83" i="9" s="1"/>
  <c r="V83" i="9" s="1"/>
  <c r="AH44" i="9"/>
  <c r="AG44" i="9"/>
  <c r="AF44" i="9"/>
  <c r="AE44" i="9"/>
  <c r="AD44" i="9"/>
  <c r="AC44" i="9"/>
  <c r="Q100" i="9"/>
  <c r="BY62" i="9"/>
  <c r="Q98" i="9"/>
  <c r="Y114" i="9"/>
  <c r="F105" i="9"/>
  <c r="F120" i="9"/>
  <c r="K97" i="10"/>
  <c r="CB48" i="10"/>
  <c r="K17" i="10"/>
  <c r="BY5" i="10"/>
  <c r="L97" i="10"/>
  <c r="L17" i="10"/>
  <c r="L83" i="10" s="1"/>
  <c r="O97" i="10"/>
  <c r="Z97" i="10"/>
  <c r="Q113" i="10"/>
  <c r="Q118" i="10" s="1"/>
  <c r="Q17" i="10"/>
  <c r="BY6" i="10"/>
  <c r="R113" i="10"/>
  <c r="R17" i="10"/>
  <c r="V113" i="10"/>
  <c r="AB113" i="10"/>
  <c r="AC113" i="10"/>
  <c r="AD113" i="10"/>
  <c r="AE113" i="10"/>
  <c r="AF113" i="10"/>
  <c r="AG113" i="10"/>
  <c r="AH113" i="10"/>
  <c r="AI113" i="10"/>
  <c r="AJ113" i="10"/>
  <c r="AJ118" i="10" s="1"/>
  <c r="AK113" i="10"/>
  <c r="AK118" i="10" s="1"/>
  <c r="AL113" i="10"/>
  <c r="AL118" i="10" s="1"/>
  <c r="CD51" i="10"/>
  <c r="BY10" i="10"/>
  <c r="M17" i="10"/>
  <c r="M83" i="10" s="1"/>
  <c r="O15" i="10"/>
  <c r="U16" i="10"/>
  <c r="U19" i="10"/>
  <c r="CB42" i="10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Q99" i="10"/>
  <c r="Q97" i="10"/>
  <c r="U97" i="10"/>
  <c r="U75" i="10"/>
  <c r="E132" i="10"/>
  <c r="E129" i="10"/>
  <c r="E104" i="10"/>
  <c r="F132" i="10"/>
  <c r="F129" i="10"/>
  <c r="G132" i="10"/>
  <c r="G129" i="10"/>
  <c r="H132" i="10"/>
  <c r="H129" i="10"/>
  <c r="I132" i="10"/>
  <c r="I129" i="10"/>
  <c r="J132" i="10"/>
  <c r="J129" i="10"/>
  <c r="M132" i="10"/>
  <c r="M129" i="10"/>
  <c r="N132" i="10"/>
  <c r="N129" i="10"/>
  <c r="P132" i="10"/>
  <c r="P129" i="10"/>
  <c r="R132" i="10"/>
  <c r="F119" i="10"/>
  <c r="E141" i="10"/>
  <c r="F141" i="10" s="1"/>
  <c r="G141" i="10" s="1"/>
  <c r="H141" i="10" s="1"/>
  <c r="I141" i="10" s="1"/>
  <c r="J141" i="10" s="1"/>
  <c r="K141" i="10" s="1"/>
  <c r="L141" i="10" s="1"/>
  <c r="M141" i="10" s="1"/>
  <c r="E158" i="10"/>
  <c r="F158" i="10" s="1"/>
  <c r="G158" i="10" s="1"/>
  <c r="H158" i="10" s="1"/>
  <c r="I158" i="10" s="1"/>
  <c r="J158" i="10" s="1"/>
  <c r="K158" i="10" s="1"/>
  <c r="L158" i="10" s="1"/>
  <c r="M158" i="10" s="1"/>
  <c r="O8" i="11"/>
  <c r="M79" i="11"/>
  <c r="M78" i="11"/>
  <c r="M77" i="11"/>
  <c r="M76" i="11"/>
  <c r="M75" i="11"/>
  <c r="M74" i="11"/>
  <c r="M73" i="11"/>
  <c r="M72" i="11"/>
  <c r="M71" i="11"/>
  <c r="M70" i="11"/>
  <c r="M69" i="11"/>
  <c r="M68" i="11"/>
  <c r="M67" i="11"/>
  <c r="M66" i="11"/>
  <c r="M65" i="11"/>
  <c r="M64" i="11"/>
  <c r="M63" i="11"/>
  <c r="M62" i="11"/>
  <c r="M61" i="11"/>
  <c r="M60" i="11"/>
  <c r="M59" i="11"/>
  <c r="M58" i="11"/>
  <c r="M57" i="11"/>
  <c r="M56" i="11"/>
  <c r="M55" i="11"/>
  <c r="M54" i="11"/>
  <c r="M53" i="11"/>
  <c r="M52" i="11"/>
  <c r="M51" i="11"/>
  <c r="M50" i="11"/>
  <c r="M49" i="11"/>
  <c r="M48" i="11"/>
  <c r="M47" i="11"/>
  <c r="M46" i="11"/>
  <c r="M45" i="11"/>
  <c r="M44" i="11"/>
  <c r="M43" i="11"/>
  <c r="M42" i="11"/>
  <c r="M41" i="11"/>
  <c r="M40" i="11"/>
  <c r="M39" i="11"/>
  <c r="M38" i="11"/>
  <c r="M37" i="11"/>
  <c r="M36" i="11"/>
  <c r="M35" i="11"/>
  <c r="M34" i="11"/>
  <c r="M33" i="11"/>
  <c r="M32" i="11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N9" i="11" s="1"/>
  <c r="T8" i="11"/>
  <c r="R79" i="11"/>
  <c r="R78" i="11"/>
  <c r="R77" i="11"/>
  <c r="R76" i="11"/>
  <c r="R75" i="11"/>
  <c r="R74" i="11"/>
  <c r="R73" i="11"/>
  <c r="R72" i="11"/>
  <c r="R71" i="11"/>
  <c r="R70" i="11"/>
  <c r="R69" i="11"/>
  <c r="R68" i="11"/>
  <c r="R67" i="11"/>
  <c r="R66" i="11"/>
  <c r="R65" i="11"/>
  <c r="R64" i="11"/>
  <c r="R63" i="11"/>
  <c r="R62" i="11"/>
  <c r="R61" i="11"/>
  <c r="R60" i="11"/>
  <c r="R59" i="11"/>
  <c r="R58" i="11"/>
  <c r="R57" i="11"/>
  <c r="R56" i="11"/>
  <c r="R55" i="11"/>
  <c r="R54" i="11"/>
  <c r="R53" i="11"/>
  <c r="R52" i="11"/>
  <c r="R51" i="11"/>
  <c r="R50" i="11"/>
  <c r="R49" i="11"/>
  <c r="R48" i="11"/>
  <c r="R47" i="11"/>
  <c r="R46" i="11"/>
  <c r="R45" i="11"/>
  <c r="R44" i="1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R9" i="11"/>
  <c r="S9" i="11" s="1"/>
  <c r="K97" i="12"/>
  <c r="CB48" i="12"/>
  <c r="K17" i="12"/>
  <c r="K83" i="12" s="1"/>
  <c r="BY5" i="12"/>
  <c r="L97" i="12"/>
  <c r="L17" i="12"/>
  <c r="O97" i="12"/>
  <c r="Z97" i="12"/>
  <c r="Q113" i="12"/>
  <c r="Q118" i="12" s="1"/>
  <c r="Q17" i="12"/>
  <c r="BY6" i="12"/>
  <c r="R113" i="12"/>
  <c r="R17" i="12"/>
  <c r="R83" i="12" s="1"/>
  <c r="V113" i="12"/>
  <c r="AB113" i="12"/>
  <c r="AC113" i="12"/>
  <c r="AD113" i="12"/>
  <c r="AE113" i="12"/>
  <c r="AF113" i="12"/>
  <c r="AG113" i="12"/>
  <c r="AH113" i="12"/>
  <c r="AI113" i="12"/>
  <c r="AJ113" i="12"/>
  <c r="AJ118" i="12" s="1"/>
  <c r="AK113" i="12"/>
  <c r="AK118" i="12" s="1"/>
  <c r="AL113" i="12"/>
  <c r="AL118" i="12" s="1"/>
  <c r="CD51" i="12"/>
  <c r="BY10" i="12"/>
  <c r="M17" i="12"/>
  <c r="M83" i="12" s="1"/>
  <c r="O15" i="12"/>
  <c r="S17" i="12"/>
  <c r="S83" i="12" s="1"/>
  <c r="U15" i="12"/>
  <c r="U16" i="12"/>
  <c r="U19" i="12"/>
  <c r="CB42" i="12"/>
  <c r="AN43" i="12"/>
  <c r="AM43" i="12"/>
  <c r="AL43" i="12"/>
  <c r="AK43" i="12"/>
  <c r="AJ43" i="12"/>
  <c r="AI43" i="12"/>
  <c r="AH43" i="12"/>
  <c r="AG43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Q99" i="12"/>
  <c r="Q97" i="12"/>
  <c r="U97" i="12"/>
  <c r="U75" i="12"/>
  <c r="E132" i="12"/>
  <c r="E129" i="12"/>
  <c r="E104" i="12"/>
  <c r="F132" i="12"/>
  <c r="F129" i="12"/>
  <c r="G132" i="12"/>
  <c r="G129" i="12"/>
  <c r="H132" i="12"/>
  <c r="H129" i="12"/>
  <c r="I132" i="12"/>
  <c r="I129" i="12"/>
  <c r="J132" i="12"/>
  <c r="J129" i="12"/>
  <c r="M132" i="12"/>
  <c r="M129" i="12"/>
  <c r="N132" i="12"/>
  <c r="N129" i="12"/>
  <c r="P132" i="12"/>
  <c r="P129" i="12"/>
  <c r="R132" i="12"/>
  <c r="F119" i="12"/>
  <c r="E141" i="12"/>
  <c r="F141" i="12" s="1"/>
  <c r="G141" i="12" s="1"/>
  <c r="H141" i="12" s="1"/>
  <c r="I141" i="12" s="1"/>
  <c r="J141" i="12" s="1"/>
  <c r="K141" i="12" s="1"/>
  <c r="L141" i="12" s="1"/>
  <c r="M141" i="12" s="1"/>
  <c r="E158" i="12"/>
  <c r="F158" i="12" s="1"/>
  <c r="G158" i="12" s="1"/>
  <c r="H158" i="12" s="1"/>
  <c r="I158" i="12" s="1"/>
  <c r="J158" i="12" s="1"/>
  <c r="K158" i="12" s="1"/>
  <c r="L158" i="12" s="1"/>
  <c r="M158" i="12" s="1"/>
  <c r="E37" i="15"/>
  <c r="E39" i="15" s="1"/>
  <c r="F39" i="15" s="1"/>
  <c r="G39" i="15" s="1"/>
  <c r="H39" i="15" s="1"/>
  <c r="I39" i="15" s="1"/>
  <c r="J39" i="15" s="1"/>
  <c r="K39" i="15" s="1"/>
  <c r="L39" i="15" s="1"/>
  <c r="M39" i="15" s="1"/>
  <c r="N39" i="15" s="1"/>
  <c r="CK3" i="15"/>
  <c r="AI7" i="15"/>
  <c r="AI62" i="15" s="1"/>
  <c r="D71" i="15" s="1"/>
  <c r="AI6" i="15"/>
  <c r="AI46" i="15" s="1"/>
  <c r="AI5" i="15"/>
  <c r="E46" i="15"/>
  <c r="E62" i="15"/>
  <c r="E44" i="15"/>
  <c r="E50" i="15" s="1"/>
  <c r="E51" i="15" s="1"/>
  <c r="F50" i="15"/>
  <c r="G50" i="15"/>
  <c r="H50" i="15"/>
  <c r="I50" i="15"/>
  <c r="D52" i="15" s="1"/>
  <c r="J50" i="15"/>
  <c r="K50" i="15"/>
  <c r="L50" i="15"/>
  <c r="M50" i="15"/>
  <c r="N50" i="15"/>
  <c r="V44" i="15"/>
  <c r="V28" i="15"/>
  <c r="V27" i="15"/>
  <c r="V26" i="15"/>
  <c r="W44" i="15"/>
  <c r="W28" i="15"/>
  <c r="W27" i="15"/>
  <c r="W26" i="15"/>
  <c r="X44" i="15"/>
  <c r="X28" i="15"/>
  <c r="X27" i="15"/>
  <c r="X26" i="15"/>
  <c r="Y44" i="15"/>
  <c r="Y28" i="15"/>
  <c r="Y27" i="15"/>
  <c r="Y26" i="15"/>
  <c r="Z44" i="15"/>
  <c r="Z28" i="15"/>
  <c r="Z27" i="15"/>
  <c r="Z26" i="15"/>
  <c r="AA44" i="15"/>
  <c r="AA28" i="15"/>
  <c r="AA27" i="15"/>
  <c r="AA26" i="15"/>
  <c r="AB44" i="15"/>
  <c r="AB28" i="15"/>
  <c r="AB27" i="15"/>
  <c r="AB26" i="15"/>
  <c r="AC44" i="15"/>
  <c r="AC28" i="15"/>
  <c r="AC27" i="15"/>
  <c r="AC26" i="15"/>
  <c r="AD44" i="15"/>
  <c r="AD28" i="15"/>
  <c r="AD27" i="15"/>
  <c r="AD26" i="15"/>
  <c r="AE44" i="15"/>
  <c r="AE28" i="15"/>
  <c r="AE27" i="15"/>
  <c r="AE26" i="15"/>
  <c r="AF44" i="15"/>
  <c r="AF28" i="15"/>
  <c r="AF27" i="15"/>
  <c r="AF26" i="15"/>
  <c r="AG44" i="15"/>
  <c r="AG28" i="15"/>
  <c r="AG27" i="15"/>
  <c r="AG26" i="15"/>
  <c r="AH44" i="15"/>
  <c r="AH28" i="15"/>
  <c r="AH27" i="15"/>
  <c r="AH26" i="15"/>
  <c r="AJ44" i="15"/>
  <c r="AJ50" i="15" s="1"/>
  <c r="AJ28" i="15"/>
  <c r="AJ27" i="15"/>
  <c r="AJ26" i="15"/>
  <c r="AJ37" i="15" s="1"/>
  <c r="AK44" i="15"/>
  <c r="AK50" i="15" s="1"/>
  <c r="AK28" i="15"/>
  <c r="AK27" i="15"/>
  <c r="AK26" i="15"/>
  <c r="AK37" i="15" s="1"/>
  <c r="AL44" i="15"/>
  <c r="AL50" i="15" s="1"/>
  <c r="AL28" i="15"/>
  <c r="AL27" i="15"/>
  <c r="AL26" i="15"/>
  <c r="AL37" i="15" s="1"/>
  <c r="AM44" i="15"/>
  <c r="AM50" i="15" s="1"/>
  <c r="AM28" i="15"/>
  <c r="AM27" i="15"/>
  <c r="AM26" i="15"/>
  <c r="AM37" i="15" s="1"/>
  <c r="AN44" i="15"/>
  <c r="AN50" i="15" s="1"/>
  <c r="AN28" i="15"/>
  <c r="AN27" i="15"/>
  <c r="AN26" i="15"/>
  <c r="AN37" i="15" s="1"/>
  <c r="AO44" i="15"/>
  <c r="AO50" i="15" s="1"/>
  <c r="AO28" i="15"/>
  <c r="AO27" i="15"/>
  <c r="AO26" i="15"/>
  <c r="AO37" i="15" s="1"/>
  <c r="AP44" i="15"/>
  <c r="AP50" i="15" s="1"/>
  <c r="AP28" i="15"/>
  <c r="AP27" i="15"/>
  <c r="AP26" i="15"/>
  <c r="AP37" i="15" s="1"/>
  <c r="AQ44" i="15"/>
  <c r="AQ50" i="15" s="1"/>
  <c r="AQ28" i="15"/>
  <c r="AQ27" i="15"/>
  <c r="AQ26" i="15"/>
  <c r="AQ37" i="15" s="1"/>
  <c r="AR44" i="15"/>
  <c r="AR50" i="15" s="1"/>
  <c r="AR28" i="15"/>
  <c r="AR27" i="15"/>
  <c r="AR26" i="15"/>
  <c r="AR37" i="15" s="1"/>
  <c r="AS44" i="15"/>
  <c r="AS50" i="15" s="1"/>
  <c r="AS28" i="15"/>
  <c r="AS27" i="15"/>
  <c r="AS26" i="15"/>
  <c r="AS37" i="15" s="1"/>
  <c r="AT44" i="15"/>
  <c r="AT50" i="15" s="1"/>
  <c r="AT28" i="15"/>
  <c r="AT27" i="15"/>
  <c r="AT26" i="15"/>
  <c r="AT37" i="15" s="1"/>
  <c r="AU44" i="15"/>
  <c r="AU50" i="15" s="1"/>
  <c r="AU28" i="15"/>
  <c r="AU27" i="15"/>
  <c r="AU26" i="15"/>
  <c r="AU37" i="15" s="1"/>
  <c r="AV44" i="15"/>
  <c r="AV50" i="15" s="1"/>
  <c r="AV28" i="15"/>
  <c r="AV27" i="15"/>
  <c r="AV26" i="15"/>
  <c r="AV37" i="15" s="1"/>
  <c r="AW44" i="15"/>
  <c r="AW50" i="15" s="1"/>
  <c r="AW28" i="15"/>
  <c r="AW27" i="15"/>
  <c r="AW26" i="15"/>
  <c r="AW37" i="15" s="1"/>
  <c r="AX44" i="15"/>
  <c r="AX50" i="15" s="1"/>
  <c r="AX28" i="15"/>
  <c r="AX27" i="15"/>
  <c r="AX26" i="15"/>
  <c r="AX37" i="15" s="1"/>
  <c r="AY44" i="15"/>
  <c r="AY50" i="15" s="1"/>
  <c r="AY28" i="15"/>
  <c r="AY27" i="15"/>
  <c r="AY26" i="15"/>
  <c r="AY37" i="15" s="1"/>
  <c r="AZ44" i="15"/>
  <c r="AZ50" i="15" s="1"/>
  <c r="AZ28" i="15"/>
  <c r="AZ27" i="15"/>
  <c r="AZ26" i="15"/>
  <c r="AZ37" i="15" s="1"/>
  <c r="BA44" i="15"/>
  <c r="BA50" i="15" s="1"/>
  <c r="BA28" i="15"/>
  <c r="BA27" i="15"/>
  <c r="BA26" i="15"/>
  <c r="BA37" i="15" s="1"/>
  <c r="BB44" i="15"/>
  <c r="BB50" i="15" s="1"/>
  <c r="BB28" i="15"/>
  <c r="BB27" i="15"/>
  <c r="BB26" i="15"/>
  <c r="BB37" i="15" s="1"/>
  <c r="BC44" i="15"/>
  <c r="BC50" i="15" s="1"/>
  <c r="BC28" i="15"/>
  <c r="BC27" i="15"/>
  <c r="BC26" i="15"/>
  <c r="BC37" i="15" s="1"/>
  <c r="BD44" i="15"/>
  <c r="BD50" i="15" s="1"/>
  <c r="BD28" i="15"/>
  <c r="BD27" i="15"/>
  <c r="BD26" i="15"/>
  <c r="BD37" i="15" s="1"/>
  <c r="BE44" i="15"/>
  <c r="BE50" i="15" s="1"/>
  <c r="BE28" i="15"/>
  <c r="BE27" i="15"/>
  <c r="BE26" i="15"/>
  <c r="BE37" i="15" s="1"/>
  <c r="BF44" i="15"/>
  <c r="BF50" i="15" s="1"/>
  <c r="BF28" i="15"/>
  <c r="BF27" i="15"/>
  <c r="BF26" i="15"/>
  <c r="BF37" i="15" s="1"/>
  <c r="BG44" i="15"/>
  <c r="BG50" i="15" s="1"/>
  <c r="BG28" i="15"/>
  <c r="BG27" i="15"/>
  <c r="BG26" i="15"/>
  <c r="BG37" i="15" s="1"/>
  <c r="BH44" i="15"/>
  <c r="BH50" i="15" s="1"/>
  <c r="BH28" i="15"/>
  <c r="BH27" i="15"/>
  <c r="BH26" i="15"/>
  <c r="BH37" i="15" s="1"/>
  <c r="BI44" i="15"/>
  <c r="BI50" i="15" s="1"/>
  <c r="BI28" i="15"/>
  <c r="BI27" i="15"/>
  <c r="BI26" i="15"/>
  <c r="BI37" i="15" s="1"/>
  <c r="BJ44" i="15"/>
  <c r="BJ50" i="15" s="1"/>
  <c r="BJ28" i="15"/>
  <c r="BJ27" i="15"/>
  <c r="BJ26" i="15"/>
  <c r="BJ37" i="15" s="1"/>
  <c r="BK44" i="15"/>
  <c r="BK50" i="15" s="1"/>
  <c r="BK28" i="15"/>
  <c r="BK27" i="15"/>
  <c r="BK26" i="15"/>
  <c r="BK37" i="15" s="1"/>
  <c r="BL44" i="15"/>
  <c r="BL50" i="15" s="1"/>
  <c r="BL28" i="15"/>
  <c r="BL27" i="15"/>
  <c r="BL26" i="15"/>
  <c r="BL37" i="15" s="1"/>
  <c r="BM44" i="15"/>
  <c r="BM50" i="15" s="1"/>
  <c r="BM28" i="15"/>
  <c r="BM27" i="15"/>
  <c r="BM26" i="15"/>
  <c r="BM37" i="15" s="1"/>
  <c r="BN44" i="15"/>
  <c r="BN50" i="15" s="1"/>
  <c r="BN28" i="15"/>
  <c r="BN27" i="15"/>
  <c r="BN26" i="15"/>
  <c r="BN37" i="15" s="1"/>
  <c r="BO44" i="15"/>
  <c r="BO50" i="15" s="1"/>
  <c r="BO28" i="15"/>
  <c r="BO27" i="15"/>
  <c r="BO26" i="15"/>
  <c r="BO37" i="15" s="1"/>
  <c r="BP44" i="15"/>
  <c r="BP50" i="15" s="1"/>
  <c r="BP28" i="15"/>
  <c r="BP27" i="15"/>
  <c r="BP26" i="15"/>
  <c r="BP37" i="15" s="1"/>
  <c r="BQ44" i="15"/>
  <c r="BQ50" i="15" s="1"/>
  <c r="BQ28" i="15"/>
  <c r="BQ27" i="15"/>
  <c r="BQ26" i="15"/>
  <c r="BQ37" i="15" s="1"/>
  <c r="BR44" i="15"/>
  <c r="BR50" i="15" s="1"/>
  <c r="BR28" i="15"/>
  <c r="BR27" i="15"/>
  <c r="BR26" i="15"/>
  <c r="BR37" i="15" s="1"/>
  <c r="BS44" i="15"/>
  <c r="BS50" i="15" s="1"/>
  <c r="BS28" i="15"/>
  <c r="BS27" i="15"/>
  <c r="BS26" i="15"/>
  <c r="BS37" i="15" s="1"/>
  <c r="BT44" i="15"/>
  <c r="BT50" i="15" s="1"/>
  <c r="BT28" i="15"/>
  <c r="BT27" i="15"/>
  <c r="BT26" i="15"/>
  <c r="BT37" i="15" s="1"/>
  <c r="BU44" i="15"/>
  <c r="BU50" i="15" s="1"/>
  <c r="BU28" i="15"/>
  <c r="BU27" i="15"/>
  <c r="BU26" i="15"/>
  <c r="BU37" i="15" s="1"/>
  <c r="BV44" i="15"/>
  <c r="BV50" i="15" s="1"/>
  <c r="BV28" i="15"/>
  <c r="BV27" i="15"/>
  <c r="BV26" i="15"/>
  <c r="BV37" i="15" s="1"/>
  <c r="BW44" i="15"/>
  <c r="BW50" i="15" s="1"/>
  <c r="BW28" i="15"/>
  <c r="BW27" i="15"/>
  <c r="BW26" i="15"/>
  <c r="BW37" i="15" s="1"/>
  <c r="BX44" i="15"/>
  <c r="BX50" i="15" s="1"/>
  <c r="BX28" i="15"/>
  <c r="BX27" i="15"/>
  <c r="BX26" i="15"/>
  <c r="BX37" i="15" s="1"/>
  <c r="E60" i="15"/>
  <c r="E65" i="15" s="1"/>
  <c r="E66" i="15" s="1"/>
  <c r="CK29" i="15"/>
  <c r="AI65" i="15"/>
  <c r="E76" i="15"/>
  <c r="E81" i="15" s="1"/>
  <c r="CK30" i="15"/>
  <c r="D55" i="15"/>
  <c r="D100" i="15"/>
  <c r="E99" i="15"/>
  <c r="F99" i="15" s="1"/>
  <c r="G99" i="15" s="1"/>
  <c r="H99" i="15" s="1"/>
  <c r="I99" i="15" s="1"/>
  <c r="J99" i="15" s="1"/>
  <c r="K99" i="15" s="1"/>
  <c r="L99" i="15" s="1"/>
  <c r="M99" i="15" s="1"/>
  <c r="F9" i="17"/>
  <c r="C10" i="17" s="1"/>
  <c r="J17" i="17"/>
  <c r="N8" i="17"/>
  <c r="N9" i="17"/>
  <c r="N10" i="17"/>
  <c r="N11" i="17"/>
  <c r="N12" i="17"/>
  <c r="N13" i="17"/>
  <c r="N14" i="17"/>
  <c r="N15" i="17"/>
  <c r="N16" i="17"/>
  <c r="N8" i="2" l="1"/>
  <c r="F82" i="6"/>
  <c r="G82" i="6" s="1"/>
  <c r="H82" i="6" s="1"/>
  <c r="I82" i="6" s="1"/>
  <c r="J82" i="6" s="1"/>
  <c r="K82" i="6" s="1"/>
  <c r="L82" i="6" s="1"/>
  <c r="E82" i="12"/>
  <c r="F82" i="12" s="1"/>
  <c r="E83" i="12"/>
  <c r="E84" i="12" s="1"/>
  <c r="F84" i="12" s="1"/>
  <c r="G84" i="12" s="1"/>
  <c r="H84" i="12" s="1"/>
  <c r="F83" i="10"/>
  <c r="F84" i="10" s="1"/>
  <c r="G84" i="10" s="1"/>
  <c r="H84" i="10" s="1"/>
  <c r="I84" i="10" s="1"/>
  <c r="F82" i="10"/>
  <c r="G82" i="10" s="1"/>
  <c r="H82" i="10" s="1"/>
  <c r="AD37" i="9"/>
  <c r="AE37" i="9"/>
  <c r="AF37" i="9"/>
  <c r="AG37" i="9"/>
  <c r="AH37" i="9"/>
  <c r="AI37" i="9"/>
  <c r="AI36" i="9" s="1"/>
  <c r="AJ37" i="9"/>
  <c r="AJ36" i="9" s="1"/>
  <c r="AK37" i="9"/>
  <c r="AK36" i="9" s="1"/>
  <c r="AL37" i="9"/>
  <c r="AL36" i="9" s="1"/>
  <c r="J84" i="6"/>
  <c r="I84" i="12"/>
  <c r="J84" i="12" s="1"/>
  <c r="J84" i="10"/>
  <c r="L83" i="12"/>
  <c r="K84" i="8"/>
  <c r="N83" i="6"/>
  <c r="I82" i="10"/>
  <c r="J82" i="10" s="1"/>
  <c r="K82" i="10" s="1"/>
  <c r="L82" i="10" s="1"/>
  <c r="M82" i="10" s="1"/>
  <c r="N82" i="10" s="1"/>
  <c r="M82" i="6"/>
  <c r="N82" i="6" s="1"/>
  <c r="N85" i="6" s="1"/>
  <c r="E9" i="13" s="1"/>
  <c r="N81" i="12"/>
  <c r="N83" i="12" s="1"/>
  <c r="G82" i="12"/>
  <c r="H82" i="12" s="1"/>
  <c r="I82" i="12" s="1"/>
  <c r="J82" i="12" s="1"/>
  <c r="K82" i="12" s="1"/>
  <c r="L82" i="12" s="1"/>
  <c r="M82" i="12" s="1"/>
  <c r="N82" i="12" s="1"/>
  <c r="E84" i="8"/>
  <c r="E85" i="8" s="1"/>
  <c r="F85" i="8" s="1"/>
  <c r="G85" i="8" s="1"/>
  <c r="H85" i="8" s="1"/>
  <c r="I85" i="8" s="1"/>
  <c r="J85" i="8" s="1"/>
  <c r="K85" i="8" s="1"/>
  <c r="L85" i="8" s="1"/>
  <c r="M85" i="8" s="1"/>
  <c r="N85" i="8" s="1"/>
  <c r="R83" i="10"/>
  <c r="K83" i="10"/>
  <c r="Q83" i="12"/>
  <c r="Q83" i="10"/>
  <c r="M83" i="6"/>
  <c r="T82" i="8"/>
  <c r="T84" i="8" s="1"/>
  <c r="F83" i="8"/>
  <c r="G83" i="8" s="1"/>
  <c r="H83" i="8" s="1"/>
  <c r="I83" i="8" s="1"/>
  <c r="J83" i="8" s="1"/>
  <c r="K83" i="8" s="1"/>
  <c r="L83" i="8" s="1"/>
  <c r="M83" i="8" s="1"/>
  <c r="N83" i="8" s="1"/>
  <c r="R82" i="8"/>
  <c r="R84" i="8" s="1"/>
  <c r="AM75" i="9"/>
  <c r="AK114" i="9"/>
  <c r="J18" i="17"/>
  <c r="N22" i="17"/>
  <c r="F15" i="17"/>
  <c r="E16" i="1"/>
  <c r="F43" i="17"/>
  <c r="F42" i="17"/>
  <c r="F39" i="17"/>
  <c r="R28" i="17"/>
  <c r="F11" i="17"/>
  <c r="D101" i="15"/>
  <c r="D103" i="15" s="1"/>
  <c r="D105" i="15" s="1"/>
  <c r="N99" i="15"/>
  <c r="O99" i="15" s="1"/>
  <c r="P99" i="15" s="1"/>
  <c r="Q99" i="15" s="1"/>
  <c r="R99" i="15" s="1"/>
  <c r="S99" i="15" s="1"/>
  <c r="T99" i="15" s="1"/>
  <c r="U99" i="15" s="1"/>
  <c r="V99" i="15" s="1"/>
  <c r="W99" i="15" s="1"/>
  <c r="X99" i="15" s="1"/>
  <c r="Y99" i="15" s="1"/>
  <c r="Z99" i="15" s="1"/>
  <c r="AA99" i="15" s="1"/>
  <c r="AB99" i="15" s="1"/>
  <c r="AC99" i="15" s="1"/>
  <c r="AD99" i="15" s="1"/>
  <c r="AE99" i="15" s="1"/>
  <c r="AF99" i="15" s="1"/>
  <c r="AG99" i="15" s="1"/>
  <c r="AH99" i="15" s="1"/>
  <c r="AI99" i="15" s="1"/>
  <c r="AJ99" i="15" s="1"/>
  <c r="AK99" i="15" s="1"/>
  <c r="AL99" i="15" s="1"/>
  <c r="AM99" i="15" s="1"/>
  <c r="AN99" i="15" s="1"/>
  <c r="AO99" i="15" s="1"/>
  <c r="AP99" i="15" s="1"/>
  <c r="AQ99" i="15" s="1"/>
  <c r="AR99" i="15" s="1"/>
  <c r="AS99" i="15" s="1"/>
  <c r="AT99" i="15" s="1"/>
  <c r="AU99" i="15" s="1"/>
  <c r="AV99" i="15" s="1"/>
  <c r="AW99" i="15" s="1"/>
  <c r="AX99" i="15" s="1"/>
  <c r="AY99" i="15" s="1"/>
  <c r="AZ99" i="15" s="1"/>
  <c r="BA99" i="15" s="1"/>
  <c r="BB99" i="15" s="1"/>
  <c r="BC99" i="15" s="1"/>
  <c r="BD99" i="15" s="1"/>
  <c r="BE99" i="15" s="1"/>
  <c r="BF99" i="15" s="1"/>
  <c r="BG99" i="15" s="1"/>
  <c r="BH99" i="15" s="1"/>
  <c r="BI99" i="15" s="1"/>
  <c r="BJ99" i="15" s="1"/>
  <c r="BK99" i="15" s="1"/>
  <c r="BL99" i="15" s="1"/>
  <c r="BM99" i="15" s="1"/>
  <c r="BN99" i="15" s="1"/>
  <c r="BO99" i="15" s="1"/>
  <c r="BP99" i="15" s="1"/>
  <c r="BQ99" i="15" s="1"/>
  <c r="BR99" i="15" s="1"/>
  <c r="BS99" i="15" s="1"/>
  <c r="BT99" i="15" s="1"/>
  <c r="BU99" i="15" s="1"/>
  <c r="BV99" i="15" s="1"/>
  <c r="BW99" i="15" s="1"/>
  <c r="BX99" i="15" s="1"/>
  <c r="D83" i="15"/>
  <c r="E82" i="15"/>
  <c r="F82" i="15" s="1"/>
  <c r="G82" i="15" s="1"/>
  <c r="H82" i="15" s="1"/>
  <c r="I82" i="15" s="1"/>
  <c r="J82" i="15" s="1"/>
  <c r="K82" i="15" s="1"/>
  <c r="L82" i="15" s="1"/>
  <c r="M82" i="15" s="1"/>
  <c r="D68" i="15"/>
  <c r="D70" i="15" s="1"/>
  <c r="F66" i="15"/>
  <c r="G66" i="15" s="1"/>
  <c r="H66" i="15" s="1"/>
  <c r="I66" i="15" s="1"/>
  <c r="J66" i="15" s="1"/>
  <c r="K66" i="15" s="1"/>
  <c r="L66" i="15" s="1"/>
  <c r="M66" i="15" s="1"/>
  <c r="N66" i="15" s="1"/>
  <c r="D53" i="15"/>
  <c r="D54" i="15" s="1"/>
  <c r="D56" i="15" s="1"/>
  <c r="F51" i="15"/>
  <c r="G51" i="15" s="1"/>
  <c r="H51" i="15" s="1"/>
  <c r="I51" i="15" s="1"/>
  <c r="J51" i="15" s="1"/>
  <c r="K51" i="15" s="1"/>
  <c r="L51" i="15" s="1"/>
  <c r="M51" i="15" s="1"/>
  <c r="N51" i="15" s="1"/>
  <c r="D72" i="15"/>
  <c r="N158" i="12"/>
  <c r="N141" i="12"/>
  <c r="G119" i="12"/>
  <c r="H119" i="12" s="1"/>
  <c r="I119" i="12" s="1"/>
  <c r="J119" i="12" s="1"/>
  <c r="K119" i="12" s="1"/>
  <c r="L119" i="12" s="1"/>
  <c r="M119" i="12" s="1"/>
  <c r="N119" i="12" s="1"/>
  <c r="O119" i="12" s="1"/>
  <c r="P119" i="12" s="1"/>
  <c r="Q119" i="12" s="1"/>
  <c r="F104" i="12"/>
  <c r="U113" i="12"/>
  <c r="U118" i="12" s="1"/>
  <c r="U73" i="12"/>
  <c r="CB54" i="12"/>
  <c r="CB18" i="12"/>
  <c r="U103" i="12"/>
  <c r="U89" i="12"/>
  <c r="Q103" i="12"/>
  <c r="Q89" i="12"/>
  <c r="BY43" i="12"/>
  <c r="U18" i="12"/>
  <c r="BY19" i="12"/>
  <c r="BY18" i="12" s="1"/>
  <c r="BY16" i="12"/>
  <c r="CD16" i="12" s="1"/>
  <c r="O17" i="12"/>
  <c r="O83" i="12" s="1"/>
  <c r="BZ9" i="12"/>
  <c r="CD10" i="12"/>
  <c r="AI118" i="12"/>
  <c r="AI89" i="12"/>
  <c r="AH118" i="12"/>
  <c r="AH89" i="12"/>
  <c r="AG118" i="12"/>
  <c r="AG89" i="12"/>
  <c r="AF118" i="12"/>
  <c r="AF89" i="12"/>
  <c r="AE118" i="12"/>
  <c r="AE89" i="12"/>
  <c r="AD118" i="12"/>
  <c r="AD89" i="12"/>
  <c r="AC118" i="12"/>
  <c r="AC89" i="12"/>
  <c r="AB118" i="12"/>
  <c r="AB89" i="12"/>
  <c r="V118" i="12"/>
  <c r="V89" i="12"/>
  <c r="R118" i="12"/>
  <c r="R89" i="12"/>
  <c r="AO75" i="12"/>
  <c r="Z103" i="12"/>
  <c r="Z89" i="12"/>
  <c r="O103" i="12"/>
  <c r="O89" i="12"/>
  <c r="L103" i="12"/>
  <c r="L89" i="12"/>
  <c r="AO74" i="12"/>
  <c r="BZ5" i="12"/>
  <c r="K84" i="12"/>
  <c r="L84" i="12" s="1"/>
  <c r="M84" i="12" s="1"/>
  <c r="N84" i="12" s="1"/>
  <c r="CB70" i="12"/>
  <c r="K103" i="12"/>
  <c r="K89" i="12"/>
  <c r="S10" i="11"/>
  <c r="T9" i="11"/>
  <c r="N10" i="11"/>
  <c r="O9" i="11"/>
  <c r="N158" i="10"/>
  <c r="N141" i="10"/>
  <c r="G119" i="10"/>
  <c r="H119" i="10" s="1"/>
  <c r="I119" i="10" s="1"/>
  <c r="J119" i="10" s="1"/>
  <c r="K119" i="10" s="1"/>
  <c r="L119" i="10" s="1"/>
  <c r="M119" i="10" s="1"/>
  <c r="N119" i="10" s="1"/>
  <c r="O119" i="10" s="1"/>
  <c r="P119" i="10" s="1"/>
  <c r="Q119" i="10" s="1"/>
  <c r="F104" i="10"/>
  <c r="U113" i="10"/>
  <c r="U118" i="10" s="1"/>
  <c r="U73" i="10"/>
  <c r="CB54" i="10"/>
  <c r="CB18" i="10"/>
  <c r="U103" i="10"/>
  <c r="U89" i="10"/>
  <c r="Q103" i="10"/>
  <c r="Q89" i="10"/>
  <c r="BY43" i="10"/>
  <c r="U18" i="10"/>
  <c r="BY19" i="10"/>
  <c r="BY16" i="10"/>
  <c r="CD16" i="10" s="1"/>
  <c r="O17" i="10"/>
  <c r="O83" i="10" s="1"/>
  <c r="BZ9" i="10"/>
  <c r="CD10" i="10"/>
  <c r="AI118" i="10"/>
  <c r="AI89" i="10"/>
  <c r="AH118" i="10"/>
  <c r="AH89" i="10"/>
  <c r="AG118" i="10"/>
  <c r="AG89" i="10"/>
  <c r="AF118" i="10"/>
  <c r="AF89" i="10"/>
  <c r="AE118" i="10"/>
  <c r="AE89" i="10"/>
  <c r="AD118" i="10"/>
  <c r="AD89" i="10"/>
  <c r="AC118" i="10"/>
  <c r="AC89" i="10"/>
  <c r="AB118" i="10"/>
  <c r="AB89" i="10"/>
  <c r="V118" i="10"/>
  <c r="V89" i="10"/>
  <c r="R118" i="10"/>
  <c r="R89" i="10"/>
  <c r="AO75" i="10"/>
  <c r="Z103" i="10"/>
  <c r="Z89" i="10"/>
  <c r="O103" i="10"/>
  <c r="O89" i="10"/>
  <c r="L103" i="10"/>
  <c r="L89" i="10"/>
  <c r="AO74" i="10"/>
  <c r="BZ5" i="10"/>
  <c r="K84" i="10"/>
  <c r="L84" i="10" s="1"/>
  <c r="M84" i="10" s="1"/>
  <c r="N84" i="10" s="1"/>
  <c r="CB70" i="10"/>
  <c r="K103" i="10"/>
  <c r="K89" i="10"/>
  <c r="G120" i="9"/>
  <c r="H120" i="9" s="1"/>
  <c r="I120" i="9" s="1"/>
  <c r="J120" i="9" s="1"/>
  <c r="K120" i="9" s="1"/>
  <c r="L120" i="9" s="1"/>
  <c r="M120" i="9" s="1"/>
  <c r="N120" i="9" s="1"/>
  <c r="O120" i="9" s="1"/>
  <c r="P120" i="9" s="1"/>
  <c r="Q120" i="9" s="1"/>
  <c r="G105" i="9"/>
  <c r="H105" i="9" s="1"/>
  <c r="I105" i="9" s="1"/>
  <c r="J105" i="9" s="1"/>
  <c r="Y119" i="9"/>
  <c r="Y90" i="9"/>
  <c r="Q104" i="9"/>
  <c r="Q90" i="9"/>
  <c r="BY44" i="9"/>
  <c r="Y39" i="9"/>
  <c r="AC39" i="9"/>
  <c r="AC14" i="9" s="1"/>
  <c r="AE39" i="9"/>
  <c r="AE14" i="9" s="1"/>
  <c r="AF39" i="9"/>
  <c r="AF14" i="9" s="1"/>
  <c r="AG39" i="9"/>
  <c r="AG14" i="9" s="1"/>
  <c r="AH39" i="9"/>
  <c r="AH14" i="9" s="1"/>
  <c r="AJ15" i="9" s="1"/>
  <c r="W18" i="9"/>
  <c r="BY19" i="9"/>
  <c r="BY18" i="9" s="1"/>
  <c r="BY16" i="9"/>
  <c r="O17" i="9"/>
  <c r="O84" i="9" s="1"/>
  <c r="AI55" i="9"/>
  <c r="AH119" i="9"/>
  <c r="AH90" i="9"/>
  <c r="AG119" i="9"/>
  <c r="AG90" i="9"/>
  <c r="AF119" i="9"/>
  <c r="AF90" i="9"/>
  <c r="AB119" i="9"/>
  <c r="AB90" i="9"/>
  <c r="R119" i="9"/>
  <c r="R90" i="9"/>
  <c r="X104" i="9"/>
  <c r="X90" i="9"/>
  <c r="W104" i="9"/>
  <c r="W90" i="9"/>
  <c r="V104" i="9"/>
  <c r="V90" i="9"/>
  <c r="U104" i="9"/>
  <c r="U90" i="9"/>
  <c r="O104" i="9"/>
  <c r="O90" i="9"/>
  <c r="L104" i="9"/>
  <c r="L90" i="9"/>
  <c r="BZ5" i="9"/>
  <c r="K85" i="9"/>
  <c r="L85" i="9" s="1"/>
  <c r="M85" i="9" s="1"/>
  <c r="N85" i="9" s="1"/>
  <c r="K104" i="9"/>
  <c r="K90" i="9"/>
  <c r="G120" i="8"/>
  <c r="H120" i="8" s="1"/>
  <c r="I120" i="8" s="1"/>
  <c r="J120" i="8" s="1"/>
  <c r="K120" i="8" s="1"/>
  <c r="L120" i="8" s="1"/>
  <c r="M120" i="8" s="1"/>
  <c r="N120" i="8" s="1"/>
  <c r="O120" i="8" s="1"/>
  <c r="P120" i="8" s="1"/>
  <c r="Q120" i="8" s="1"/>
  <c r="G105" i="8"/>
  <c r="H105" i="8" s="1"/>
  <c r="I105" i="8" s="1"/>
  <c r="J105" i="8" s="1"/>
  <c r="Q104" i="8"/>
  <c r="Q90" i="8"/>
  <c r="BY44" i="8"/>
  <c r="W18" i="8"/>
  <c r="BY19" i="8"/>
  <c r="BY18" i="8" s="1"/>
  <c r="O17" i="8"/>
  <c r="O84" i="8" s="1"/>
  <c r="BZ9" i="8"/>
  <c r="AI119" i="8"/>
  <c r="AI90" i="8"/>
  <c r="AH119" i="8"/>
  <c r="AH90" i="8"/>
  <c r="AG119" i="8"/>
  <c r="AG90" i="8"/>
  <c r="AF119" i="8"/>
  <c r="AF90" i="8"/>
  <c r="AE119" i="8"/>
  <c r="AE90" i="8"/>
  <c r="AD119" i="8"/>
  <c r="AD90" i="8"/>
  <c r="AB119" i="8"/>
  <c r="AB90" i="8"/>
  <c r="AA119" i="8"/>
  <c r="AA90" i="8"/>
  <c r="Y119" i="8"/>
  <c r="Y90" i="8"/>
  <c r="R119" i="8"/>
  <c r="R90" i="8"/>
  <c r="AJ76" i="8"/>
  <c r="CD6" i="8"/>
  <c r="CD51" i="8" s="1"/>
  <c r="Z104" i="8"/>
  <c r="Z90" i="8"/>
  <c r="W104" i="8"/>
  <c r="W90" i="8"/>
  <c r="U104" i="8"/>
  <c r="U90" i="8"/>
  <c r="O104" i="8"/>
  <c r="O90" i="8"/>
  <c r="L104" i="8"/>
  <c r="L90" i="8"/>
  <c r="AJ75" i="8"/>
  <c r="BZ5" i="8"/>
  <c r="CD5" i="8"/>
  <c r="K104" i="8"/>
  <c r="K90" i="8"/>
  <c r="N152" i="6"/>
  <c r="N135" i="6"/>
  <c r="G119" i="6"/>
  <c r="H119" i="6" s="1"/>
  <c r="I119" i="6" s="1"/>
  <c r="J119" i="6" s="1"/>
  <c r="K119" i="6" s="1"/>
  <c r="L119" i="6" s="1"/>
  <c r="M119" i="6" s="1"/>
  <c r="N119" i="6" s="1"/>
  <c r="G104" i="6"/>
  <c r="H104" i="6" s="1"/>
  <c r="I104" i="6" s="1"/>
  <c r="J104" i="6" s="1"/>
  <c r="U25" i="15"/>
  <c r="U73" i="6"/>
  <c r="AB51" i="6"/>
  <c r="U18" i="6"/>
  <c r="BY19" i="6"/>
  <c r="BY16" i="6"/>
  <c r="CD16" i="6" s="1"/>
  <c r="AI131" i="6"/>
  <c r="AI134" i="6" s="1"/>
  <c r="BY57" i="6"/>
  <c r="AH118" i="6"/>
  <c r="AH89" i="6"/>
  <c r="AH7" i="15"/>
  <c r="AH62" i="15" s="1"/>
  <c r="AH65" i="15" s="1"/>
  <c r="AH6" i="15"/>
  <c r="AH46" i="15" s="1"/>
  <c r="AH50" i="15" s="1"/>
  <c r="AH5" i="15"/>
  <c r="AH37" i="15" s="1"/>
  <c r="AG118" i="6"/>
  <c r="AG89" i="6"/>
  <c r="AG7" i="15"/>
  <c r="AG62" i="15" s="1"/>
  <c r="AG65" i="15" s="1"/>
  <c r="AG6" i="15"/>
  <c r="AG46" i="15" s="1"/>
  <c r="AG50" i="15" s="1"/>
  <c r="AG5" i="15"/>
  <c r="AG37" i="15" s="1"/>
  <c r="AF118" i="6"/>
  <c r="AF89" i="6"/>
  <c r="AF7" i="15"/>
  <c r="AF62" i="15" s="1"/>
  <c r="AF65" i="15" s="1"/>
  <c r="AF6" i="15"/>
  <c r="AF46" i="15" s="1"/>
  <c r="AF50" i="15" s="1"/>
  <c r="AF5" i="15"/>
  <c r="AF37" i="15" s="1"/>
  <c r="AE118" i="6"/>
  <c r="AE89" i="6"/>
  <c r="AE7" i="15"/>
  <c r="AE62" i="15" s="1"/>
  <c r="AE65" i="15" s="1"/>
  <c r="AE6" i="15"/>
  <c r="AE46" i="15" s="1"/>
  <c r="AE50" i="15" s="1"/>
  <c r="AE5" i="15"/>
  <c r="AE37" i="15" s="1"/>
  <c r="AD118" i="6"/>
  <c r="AD89" i="6"/>
  <c r="AD7" i="15"/>
  <c r="AD62" i="15" s="1"/>
  <c r="AD65" i="15" s="1"/>
  <c r="AD6" i="15"/>
  <c r="AD46" i="15" s="1"/>
  <c r="AD50" i="15" s="1"/>
  <c r="AD5" i="15"/>
  <c r="AD37" i="15" s="1"/>
  <c r="AC118" i="6"/>
  <c r="AC89" i="6"/>
  <c r="AC7" i="15"/>
  <c r="AC62" i="15" s="1"/>
  <c r="AC65" i="15" s="1"/>
  <c r="AC6" i="15"/>
  <c r="AC46" i="15" s="1"/>
  <c r="AC50" i="15" s="1"/>
  <c r="AC5" i="15"/>
  <c r="AC37" i="15" s="1"/>
  <c r="AB118" i="6"/>
  <c r="AB89" i="6"/>
  <c r="AB7" i="15"/>
  <c r="AB62" i="15" s="1"/>
  <c r="AB65" i="15" s="1"/>
  <c r="AB6" i="15"/>
  <c r="AB46" i="15" s="1"/>
  <c r="AB50" i="15" s="1"/>
  <c r="AB5" i="15"/>
  <c r="AB37" i="15" s="1"/>
  <c r="AA118" i="6"/>
  <c r="AA89" i="6"/>
  <c r="AA7" i="15"/>
  <c r="AA62" i="15" s="1"/>
  <c r="AA65" i="15" s="1"/>
  <c r="AA6" i="15"/>
  <c r="AA46" i="15" s="1"/>
  <c r="AA50" i="15" s="1"/>
  <c r="AA5" i="15"/>
  <c r="AA37" i="15" s="1"/>
  <c r="Z118" i="6"/>
  <c r="Z89" i="6"/>
  <c r="Z7" i="15"/>
  <c r="Z62" i="15" s="1"/>
  <c r="Z65" i="15" s="1"/>
  <c r="Z6" i="15"/>
  <c r="Z46" i="15" s="1"/>
  <c r="Z50" i="15" s="1"/>
  <c r="Z5" i="15"/>
  <c r="Z37" i="15" s="1"/>
  <c r="Y118" i="6"/>
  <c r="Y89" i="6"/>
  <c r="Y7" i="15"/>
  <c r="Y62" i="15" s="1"/>
  <c r="Y65" i="15" s="1"/>
  <c r="Y6" i="15"/>
  <c r="Y46" i="15" s="1"/>
  <c r="Y50" i="15" s="1"/>
  <c r="Y5" i="15"/>
  <c r="Y37" i="15" s="1"/>
  <c r="X118" i="6"/>
  <c r="X89" i="6"/>
  <c r="X7" i="15"/>
  <c r="X62" i="15" s="1"/>
  <c r="X65" i="15" s="1"/>
  <c r="X6" i="15"/>
  <c r="X46" i="15" s="1"/>
  <c r="X50" i="15" s="1"/>
  <c r="X5" i="15"/>
  <c r="X37" i="15" s="1"/>
  <c r="W118" i="6"/>
  <c r="W89" i="6"/>
  <c r="W7" i="15"/>
  <c r="W62" i="15" s="1"/>
  <c r="W65" i="15" s="1"/>
  <c r="W6" i="15"/>
  <c r="W46" i="15" s="1"/>
  <c r="W50" i="15" s="1"/>
  <c r="W5" i="15"/>
  <c r="W37" i="15" s="1"/>
  <c r="V118" i="6"/>
  <c r="V89" i="6"/>
  <c r="V7" i="15"/>
  <c r="V62" i="15" s="1"/>
  <c r="V65" i="15" s="1"/>
  <c r="V6" i="15"/>
  <c r="V46" i="15" s="1"/>
  <c r="V50" i="15" s="1"/>
  <c r="V5" i="15"/>
  <c r="V37" i="15" s="1"/>
  <c r="T118" i="6"/>
  <c r="T89" i="6"/>
  <c r="T7" i="15"/>
  <c r="T62" i="15" s="1"/>
  <c r="T65" i="15" s="1"/>
  <c r="T6" i="15"/>
  <c r="T46" i="15" s="1"/>
  <c r="T50" i="15" s="1"/>
  <c r="T5" i="15"/>
  <c r="T37" i="15" s="1"/>
  <c r="R118" i="6"/>
  <c r="R89" i="6"/>
  <c r="R7" i="15"/>
  <c r="R62" i="15" s="1"/>
  <c r="R65" i="15" s="1"/>
  <c r="R6" i="15"/>
  <c r="R46" i="15" s="1"/>
  <c r="R50" i="15" s="1"/>
  <c r="R5" i="15"/>
  <c r="R37" i="15" s="1"/>
  <c r="Q118" i="6"/>
  <c r="Q89" i="6"/>
  <c r="Q7" i="15"/>
  <c r="Q62" i="15" s="1"/>
  <c r="Q65" i="15" s="1"/>
  <c r="Q6" i="15"/>
  <c r="Q46" i="15" s="1"/>
  <c r="Q50" i="15" s="1"/>
  <c r="Q5" i="15"/>
  <c r="Q37" i="15" s="1"/>
  <c r="P118" i="6"/>
  <c r="P89" i="6"/>
  <c r="P7" i="15"/>
  <c r="P62" i="15" s="1"/>
  <c r="P65" i="15" s="1"/>
  <c r="P6" i="15"/>
  <c r="P46" i="15" s="1"/>
  <c r="P50" i="15" s="1"/>
  <c r="P5" i="15"/>
  <c r="P37" i="15" s="1"/>
  <c r="U4" i="15"/>
  <c r="U113" i="6"/>
  <c r="U118" i="6" s="1"/>
  <c r="U103" i="6"/>
  <c r="U89" i="6"/>
  <c r="S4" i="15"/>
  <c r="S113" i="6"/>
  <c r="S118" i="6" s="1"/>
  <c r="S103" i="6"/>
  <c r="S89" i="6"/>
  <c r="L103" i="6"/>
  <c r="L89" i="6"/>
  <c r="AI74" i="6"/>
  <c r="O4" i="15"/>
  <c r="O113" i="6"/>
  <c r="BY6" i="6"/>
  <c r="K84" i="6"/>
  <c r="L84" i="6" s="1"/>
  <c r="M84" i="6" s="1"/>
  <c r="N84" i="6" s="1"/>
  <c r="K103" i="6"/>
  <c r="K89" i="6"/>
  <c r="D1" i="4"/>
  <c r="CD72" i="6"/>
  <c r="CD71" i="6"/>
  <c r="CD70" i="6" a="1"/>
  <c r="CD70" i="6" s="1"/>
  <c r="CD62" i="6" a="1"/>
  <c r="CD62" i="6" s="1"/>
  <c r="CD54" i="6" a="1"/>
  <c r="CD54" i="6" s="1"/>
  <c r="CD48" i="6" a="1"/>
  <c r="CD48" i="6" s="1"/>
  <c r="CD47" i="6"/>
  <c r="CD46" i="6"/>
  <c r="CD45" i="6"/>
  <c r="CD38" i="6" a="1"/>
  <c r="CD38" i="6" s="1"/>
  <c r="CD65" i="6" s="1"/>
  <c r="CD35" i="6" a="1"/>
  <c r="CD35" i="6" s="1"/>
  <c r="CD27" i="6" a="1"/>
  <c r="CD27" i="6" s="1"/>
  <c r="CD24" i="6" a="1"/>
  <c r="CD24" i="6" s="1"/>
  <c r="CD23" i="6"/>
  <c r="CD22" i="6"/>
  <c r="CD21" i="6"/>
  <c r="CD20" i="6"/>
  <c r="CD19" i="6"/>
  <c r="CD18" i="6" a="1"/>
  <c r="CD18" i="6" s="1"/>
  <c r="CD73" i="8"/>
  <c r="CD72" i="8"/>
  <c r="CD71" i="8" a="1"/>
  <c r="CD71" i="8" s="1"/>
  <c r="CD63" i="8" a="1"/>
  <c r="CD63" i="8" s="1"/>
  <c r="CD55" i="8" a="1"/>
  <c r="CD55" i="8" s="1"/>
  <c r="CD49" i="8" a="1"/>
  <c r="CD49" i="8" s="1"/>
  <c r="CD48" i="8"/>
  <c r="CD47" i="8"/>
  <c r="CD46" i="8"/>
  <c r="CD39" i="8" a="1"/>
  <c r="CD39" i="8" s="1"/>
  <c r="CD66" i="8" s="1"/>
  <c r="CD36" i="8" a="1"/>
  <c r="CD36" i="8" s="1"/>
  <c r="CD28" i="8" a="1"/>
  <c r="CD28" i="8" s="1"/>
  <c r="CD24" i="8" a="1"/>
  <c r="CD24" i="8" s="1"/>
  <c r="CD23" i="8"/>
  <c r="CD22" i="8"/>
  <c r="CD21" i="8"/>
  <c r="CD20" i="8"/>
  <c r="CD19" i="8"/>
  <c r="CD18" i="8" a="1"/>
  <c r="CD18" i="8" s="1"/>
  <c r="CD72" i="10"/>
  <c r="CD71" i="10"/>
  <c r="CD70" i="10" a="1"/>
  <c r="CD70" i="10" s="1"/>
  <c r="CD62" i="10" a="1"/>
  <c r="CD62" i="10" s="1"/>
  <c r="CD54" i="10" a="1"/>
  <c r="CD54" i="10" s="1"/>
  <c r="CD48" i="10" a="1"/>
  <c r="CD48" i="10" s="1"/>
  <c r="CD47" i="10"/>
  <c r="CD46" i="10"/>
  <c r="CD45" i="10"/>
  <c r="CD38" i="10" a="1"/>
  <c r="CD38" i="10" s="1"/>
  <c r="CD65" i="10" s="1"/>
  <c r="CD35" i="10" a="1"/>
  <c r="CD35" i="10" s="1"/>
  <c r="CD27" i="10" a="1"/>
  <c r="CD27" i="10" s="1"/>
  <c r="CD24" i="10" a="1"/>
  <c r="CD24" i="10" s="1"/>
  <c r="CD23" i="10"/>
  <c r="CD22" i="10"/>
  <c r="CD21" i="10"/>
  <c r="CD20" i="10"/>
  <c r="CD19" i="10"/>
  <c r="CD18" i="10" a="1"/>
  <c r="CD18" i="10" s="1"/>
  <c r="CD72" i="12"/>
  <c r="CD71" i="12"/>
  <c r="CD70" i="12" a="1"/>
  <c r="CD70" i="12" s="1"/>
  <c r="CD62" i="12" a="1"/>
  <c r="CD62" i="12" s="1"/>
  <c r="CD54" i="12" a="1"/>
  <c r="CD54" i="12" s="1"/>
  <c r="CD48" i="12" a="1"/>
  <c r="CD48" i="12" s="1"/>
  <c r="CD47" i="12"/>
  <c r="CD46" i="12"/>
  <c r="CD45" i="12"/>
  <c r="CD38" i="12" a="1"/>
  <c r="CD38" i="12" s="1"/>
  <c r="CD65" i="12" s="1"/>
  <c r="CD35" i="12" a="1"/>
  <c r="CD35" i="12" s="1"/>
  <c r="CD27" i="12" a="1"/>
  <c r="CD27" i="12" s="1"/>
  <c r="CD24" i="12" a="1"/>
  <c r="CD24" i="12" s="1"/>
  <c r="CD23" i="12"/>
  <c r="CD22" i="12"/>
  <c r="CD21" i="12"/>
  <c r="CD20" i="12"/>
  <c r="CD19" i="12"/>
  <c r="CD18" i="12" a="1"/>
  <c r="CD18" i="12" s="1"/>
  <c r="BY21" i="6"/>
  <c r="BY21" i="10"/>
  <c r="AN36" i="12"/>
  <c r="AN35" i="12" s="1"/>
  <c r="AM36" i="12"/>
  <c r="AM35" i="12" s="1"/>
  <c r="AL36" i="12"/>
  <c r="AL35" i="12" s="1"/>
  <c r="AK36" i="12"/>
  <c r="AK35" i="12" s="1"/>
  <c r="AJ36" i="12"/>
  <c r="AN36" i="10"/>
  <c r="AN35" i="10" s="1"/>
  <c r="AM36" i="10"/>
  <c r="AM35" i="10" s="1"/>
  <c r="AL36" i="10"/>
  <c r="AL35" i="10" s="1"/>
  <c r="AK36" i="10"/>
  <c r="AK35" i="10" s="1"/>
  <c r="AJ36" i="10"/>
  <c r="AH36" i="9"/>
  <c r="AG36" i="9"/>
  <c r="AF36" i="9"/>
  <c r="AE36" i="9"/>
  <c r="AH37" i="8"/>
  <c r="AH36" i="8" s="1"/>
  <c r="AG37" i="8"/>
  <c r="AG36" i="8" s="1"/>
  <c r="AF37" i="8"/>
  <c r="AF36" i="8" s="1"/>
  <c r="AE37" i="8"/>
  <c r="AE36" i="8" s="1"/>
  <c r="AD37" i="8"/>
  <c r="AH36" i="6"/>
  <c r="AH35" i="6" s="1"/>
  <c r="AG36" i="6"/>
  <c r="AG35" i="6" s="1"/>
  <c r="AF36" i="6"/>
  <c r="AF35" i="6" s="1"/>
  <c r="AE36" i="6"/>
  <c r="AE35" i="6" s="1"/>
  <c r="AD36" i="6"/>
  <c r="C48" i="2"/>
  <c r="F49" i="2" s="1"/>
  <c r="F29" i="2"/>
  <c r="F39" i="2" s="1"/>
  <c r="S22" i="10"/>
  <c r="O22" i="6"/>
  <c r="E12" i="2"/>
  <c r="C14" i="2"/>
  <c r="N16" i="2"/>
  <c r="O10" i="1"/>
  <c r="K10" i="1"/>
  <c r="P10" i="1" s="1"/>
  <c r="N15" i="2"/>
  <c r="O9" i="1"/>
  <c r="K9" i="1"/>
  <c r="P9" i="1" s="1"/>
  <c r="N14" i="2"/>
  <c r="O8" i="1"/>
  <c r="K8" i="1"/>
  <c r="P8" i="1" s="1"/>
  <c r="N13" i="2"/>
  <c r="O7" i="1"/>
  <c r="K7" i="1"/>
  <c r="P7" i="1" s="1"/>
  <c r="N12" i="2"/>
  <c r="O6" i="1"/>
  <c r="K6" i="1"/>
  <c r="P6" i="1" s="1"/>
  <c r="N11" i="2"/>
  <c r="O5" i="1"/>
  <c r="K5" i="1"/>
  <c r="P5" i="1" s="1"/>
  <c r="N10" i="2"/>
  <c r="O4" i="1"/>
  <c r="K4" i="1"/>
  <c r="P4" i="1" s="1"/>
  <c r="N9" i="2"/>
  <c r="O3" i="1"/>
  <c r="K3" i="1"/>
  <c r="P3" i="1" s="1"/>
  <c r="M12" i="1"/>
  <c r="M13" i="1" s="1"/>
  <c r="N21" i="2" s="1"/>
  <c r="N2" i="1"/>
  <c r="N12" i="1" s="1"/>
  <c r="M17" i="2"/>
  <c r="M17" i="17"/>
  <c r="J12" i="1"/>
  <c r="J13" i="1" s="1"/>
  <c r="O13" i="1" s="1"/>
  <c r="O2" i="1"/>
  <c r="O12" i="1" s="1"/>
  <c r="K2" i="1"/>
  <c r="L17" i="2"/>
  <c r="L17" i="17"/>
  <c r="AL64" i="9" l="1"/>
  <c r="AM64" i="9"/>
  <c r="J18" i="2"/>
  <c r="N86" i="8"/>
  <c r="O83" i="8"/>
  <c r="P83" i="8" s="1"/>
  <c r="Q83" i="8" s="1"/>
  <c r="R83" i="8" s="1"/>
  <c r="S83" i="8" s="1"/>
  <c r="T83" i="8" s="1"/>
  <c r="U83" i="8" s="1"/>
  <c r="O82" i="12"/>
  <c r="P82" i="12" s="1"/>
  <c r="Q82" i="12" s="1"/>
  <c r="R82" i="12" s="1"/>
  <c r="S82" i="12" s="1"/>
  <c r="N85" i="12"/>
  <c r="N85" i="10"/>
  <c r="O82" i="10"/>
  <c r="P82" i="10" s="1"/>
  <c r="Q82" i="10" s="1"/>
  <c r="R82" i="10" s="1"/>
  <c r="AM98" i="9"/>
  <c r="AM90" i="9" s="1"/>
  <c r="K12" i="1"/>
  <c r="P2" i="1"/>
  <c r="P12" i="1" s="1"/>
  <c r="E17" i="1"/>
  <c r="N17" i="2"/>
  <c r="F68" i="2" s="1"/>
  <c r="AO63" i="12"/>
  <c r="AO63" i="10"/>
  <c r="AJ64" i="8"/>
  <c r="AI64" i="8"/>
  <c r="AI63" i="6"/>
  <c r="M21" i="2"/>
  <c r="R36" i="2"/>
  <c r="F15" i="2"/>
  <c r="BY22" i="6"/>
  <c r="O18" i="6"/>
  <c r="BY22" i="10"/>
  <c r="S18" i="10"/>
  <c r="C40" i="2"/>
  <c r="E29" i="2"/>
  <c r="BY36" i="6"/>
  <c r="BY35" i="6" s="1"/>
  <c r="AD35" i="6"/>
  <c r="BY37" i="8"/>
  <c r="BY36" i="8" s="1"/>
  <c r="AD36" i="8"/>
  <c r="BY37" i="9"/>
  <c r="BY36" i="9" s="1"/>
  <c r="AD36" i="9"/>
  <c r="BY36" i="10"/>
  <c r="BY35" i="10" s="1"/>
  <c r="AJ35" i="10"/>
  <c r="BY36" i="12"/>
  <c r="BY35" i="12" s="1"/>
  <c r="AJ35" i="12"/>
  <c r="CD61" i="12"/>
  <c r="CE18" i="12"/>
  <c r="CD61" i="10"/>
  <c r="CE18" i="10"/>
  <c r="CD62" i="8"/>
  <c r="CE18" i="8"/>
  <c r="CD61" i="6"/>
  <c r="CE18" i="6"/>
  <c r="AI75" i="6"/>
  <c r="BZ5" i="6"/>
  <c r="CD6" i="6"/>
  <c r="CD50" i="6" s="1"/>
  <c r="O118" i="6"/>
  <c r="O89" i="6"/>
  <c r="O7" i="15"/>
  <c r="O6" i="15"/>
  <c r="O5" i="15"/>
  <c r="O37" i="15"/>
  <c r="O39" i="15" s="1"/>
  <c r="P39" i="15" s="1"/>
  <c r="Q39" i="15" s="1"/>
  <c r="R39" i="15" s="1"/>
  <c r="CK4" i="15"/>
  <c r="AI24" i="15"/>
  <c r="CK24" i="15" s="1"/>
  <c r="AI97" i="6"/>
  <c r="BY74" i="6"/>
  <c r="S7" i="15"/>
  <c r="S62" i="15" s="1"/>
  <c r="S65" i="15" s="1"/>
  <c r="S6" i="15"/>
  <c r="S46" i="15" s="1"/>
  <c r="S50" i="15" s="1"/>
  <c r="S5" i="15"/>
  <c r="S37" i="15" s="1"/>
  <c r="U7" i="15"/>
  <c r="U62" i="15" s="1"/>
  <c r="U65" i="15" s="1"/>
  <c r="U6" i="15"/>
  <c r="U46" i="15" s="1"/>
  <c r="U5" i="15"/>
  <c r="BY18" i="6"/>
  <c r="U44" i="15"/>
  <c r="U50" i="15" s="1"/>
  <c r="U28" i="15"/>
  <c r="U27" i="15"/>
  <c r="U26" i="15"/>
  <c r="K104" i="6"/>
  <c r="O119" i="6"/>
  <c r="O135" i="6"/>
  <c r="P135" i="6" s="1"/>
  <c r="Q135" i="6" s="1"/>
  <c r="R135" i="6" s="1"/>
  <c r="S135" i="6" s="1"/>
  <c r="T135" i="6" s="1"/>
  <c r="U135" i="6" s="1"/>
  <c r="V135" i="6" s="1"/>
  <c r="W135" i="6" s="1"/>
  <c r="X135" i="6" s="1"/>
  <c r="Y135" i="6" s="1"/>
  <c r="Z135" i="6" s="1"/>
  <c r="AA135" i="6" s="1"/>
  <c r="AB135" i="6" s="1"/>
  <c r="AC135" i="6" s="1"/>
  <c r="AD135" i="6" s="1"/>
  <c r="AE135" i="6" s="1"/>
  <c r="AF135" i="6" s="1"/>
  <c r="AG135" i="6" s="1"/>
  <c r="AH135" i="6" s="1"/>
  <c r="AI135" i="6" s="1"/>
  <c r="AJ135" i="6" s="1"/>
  <c r="AK135" i="6" s="1"/>
  <c r="AL135" i="6" s="1"/>
  <c r="AM135" i="6" s="1"/>
  <c r="AN135" i="6" s="1"/>
  <c r="AO135" i="6" s="1"/>
  <c r="AP135" i="6" s="1"/>
  <c r="AQ135" i="6" s="1"/>
  <c r="AR135" i="6" s="1"/>
  <c r="AS135" i="6" s="1"/>
  <c r="AT135" i="6" s="1"/>
  <c r="AU135" i="6" s="1"/>
  <c r="AV135" i="6" s="1"/>
  <c r="AW135" i="6" s="1"/>
  <c r="AX135" i="6" s="1"/>
  <c r="AY135" i="6" s="1"/>
  <c r="AZ135" i="6" s="1"/>
  <c r="BA135" i="6" s="1"/>
  <c r="BB135" i="6" s="1"/>
  <c r="BC135" i="6" s="1"/>
  <c r="BD135" i="6" s="1"/>
  <c r="BE135" i="6" s="1"/>
  <c r="BF135" i="6" s="1"/>
  <c r="BG135" i="6" s="1"/>
  <c r="BH135" i="6" s="1"/>
  <c r="BI135" i="6" s="1"/>
  <c r="BJ135" i="6" s="1"/>
  <c r="BK135" i="6" s="1"/>
  <c r="BL135" i="6" s="1"/>
  <c r="BM135" i="6" s="1"/>
  <c r="BN135" i="6" s="1"/>
  <c r="BO135" i="6" s="1"/>
  <c r="BP135" i="6" s="1"/>
  <c r="BQ135" i="6" s="1"/>
  <c r="BR135" i="6" s="1"/>
  <c r="BS135" i="6" s="1"/>
  <c r="BT135" i="6" s="1"/>
  <c r="BU135" i="6" s="1"/>
  <c r="BV135" i="6" s="1"/>
  <c r="BW135" i="6" s="1"/>
  <c r="D137" i="6"/>
  <c r="D139" i="6" s="1"/>
  <c r="O152" i="6"/>
  <c r="P152" i="6" s="1"/>
  <c r="Q152" i="6" s="1"/>
  <c r="R152" i="6" s="1"/>
  <c r="S152" i="6" s="1"/>
  <c r="T152" i="6" s="1"/>
  <c r="U152" i="6" s="1"/>
  <c r="V152" i="6" s="1"/>
  <c r="W152" i="6" s="1"/>
  <c r="X152" i="6" s="1"/>
  <c r="Y152" i="6" s="1"/>
  <c r="Z152" i="6" s="1"/>
  <c r="AA152" i="6" s="1"/>
  <c r="AB152" i="6" s="1"/>
  <c r="AC152" i="6" s="1"/>
  <c r="AD152" i="6" s="1"/>
  <c r="AE152" i="6" s="1"/>
  <c r="AF152" i="6" s="1"/>
  <c r="AG152" i="6" s="1"/>
  <c r="AH152" i="6" s="1"/>
  <c r="AI152" i="6" s="1"/>
  <c r="AJ152" i="6" s="1"/>
  <c r="AK152" i="6" s="1"/>
  <c r="AL152" i="6" s="1"/>
  <c r="AM152" i="6" s="1"/>
  <c r="AN152" i="6" s="1"/>
  <c r="AO152" i="6" s="1"/>
  <c r="AP152" i="6" s="1"/>
  <c r="AQ152" i="6" s="1"/>
  <c r="AR152" i="6" s="1"/>
  <c r="AS152" i="6" s="1"/>
  <c r="AT152" i="6" s="1"/>
  <c r="AU152" i="6" s="1"/>
  <c r="AV152" i="6" s="1"/>
  <c r="AW152" i="6" s="1"/>
  <c r="AX152" i="6" s="1"/>
  <c r="AY152" i="6" s="1"/>
  <c r="AZ152" i="6" s="1"/>
  <c r="BA152" i="6" s="1"/>
  <c r="BB152" i="6" s="1"/>
  <c r="BC152" i="6" s="1"/>
  <c r="BD152" i="6" s="1"/>
  <c r="BE152" i="6" s="1"/>
  <c r="BF152" i="6" s="1"/>
  <c r="BG152" i="6" s="1"/>
  <c r="BH152" i="6" s="1"/>
  <c r="BI152" i="6" s="1"/>
  <c r="BJ152" i="6" s="1"/>
  <c r="BK152" i="6" s="1"/>
  <c r="BL152" i="6" s="1"/>
  <c r="BM152" i="6" s="1"/>
  <c r="BN152" i="6" s="1"/>
  <c r="BO152" i="6" s="1"/>
  <c r="BP152" i="6" s="1"/>
  <c r="BQ152" i="6" s="1"/>
  <c r="BR152" i="6" s="1"/>
  <c r="BS152" i="6" s="1"/>
  <c r="BT152" i="6" s="1"/>
  <c r="BU152" i="6" s="1"/>
  <c r="BV152" i="6" s="1"/>
  <c r="BW152" i="6" s="1"/>
  <c r="D154" i="6"/>
  <c r="D156" i="6" s="1"/>
  <c r="CD50" i="8"/>
  <c r="CE5" i="8"/>
  <c r="AJ98" i="8"/>
  <c r="CA75" i="8"/>
  <c r="BY75" i="8"/>
  <c r="BY76" i="8"/>
  <c r="AJ114" i="8"/>
  <c r="AJ81" i="8"/>
  <c r="CA10" i="8"/>
  <c r="CD9" i="8"/>
  <c r="O85" i="8"/>
  <c r="P85" i="8" s="1"/>
  <c r="Q85" i="8" s="1"/>
  <c r="R85" i="8" s="1"/>
  <c r="S85" i="8" s="1"/>
  <c r="T85" i="8" s="1"/>
  <c r="U85" i="8" s="1"/>
  <c r="K105" i="8"/>
  <c r="R120" i="8"/>
  <c r="AJ98" i="9"/>
  <c r="BY75" i="9"/>
  <c r="AJ114" i="9"/>
  <c r="BY76" i="9"/>
  <c r="BY10" i="9"/>
  <c r="O85" i="9"/>
  <c r="P85" i="9" s="1"/>
  <c r="Q85" i="9" s="1"/>
  <c r="R85" i="9" s="1"/>
  <c r="S85" i="9" s="1"/>
  <c r="T85" i="9" s="1"/>
  <c r="U85" i="9" s="1"/>
  <c r="V85" i="9" s="1"/>
  <c r="AI15" i="9"/>
  <c r="AI17" i="9" s="1"/>
  <c r="AH15" i="9"/>
  <c r="AH17" i="9" s="1"/>
  <c r="AG15" i="9"/>
  <c r="AG17" i="9" s="1"/>
  <c r="AE15" i="9"/>
  <c r="AE17" i="9" s="1"/>
  <c r="K105" i="9"/>
  <c r="R120" i="9"/>
  <c r="K132" i="10"/>
  <c r="K129" i="10"/>
  <c r="CA9" i="10"/>
  <c r="CA11" i="10" s="1"/>
  <c r="CA5" i="10"/>
  <c r="CD5" i="10" s="1"/>
  <c r="CA6" i="10"/>
  <c r="CD6" i="10" s="1"/>
  <c r="CD50" i="10" s="1"/>
  <c r="AO97" i="10"/>
  <c r="BY74" i="10"/>
  <c r="L132" i="10"/>
  <c r="L129" i="10"/>
  <c r="O132" i="10"/>
  <c r="O129" i="10"/>
  <c r="AO113" i="10"/>
  <c r="BY75" i="10"/>
  <c r="R129" i="10"/>
  <c r="AO80" i="10"/>
  <c r="CB24" i="10"/>
  <c r="CB27" i="10" s="1"/>
  <c r="CA13" i="10"/>
  <c r="CD9" i="10"/>
  <c r="O84" i="10"/>
  <c r="P84" i="10" s="1"/>
  <c r="Q84" i="10" s="1"/>
  <c r="R84" i="10" s="1"/>
  <c r="BY18" i="10"/>
  <c r="Q132" i="10"/>
  <c r="Q129" i="10"/>
  <c r="G104" i="10"/>
  <c r="H104" i="10" s="1"/>
  <c r="I104" i="10" s="1"/>
  <c r="J104" i="10" s="1"/>
  <c r="K104" i="10" s="1"/>
  <c r="L104" i="10" s="1"/>
  <c r="M104" i="10" s="1"/>
  <c r="N104" i="10" s="1"/>
  <c r="O104" i="10" s="1"/>
  <c r="P104" i="10" s="1"/>
  <c r="Q104" i="10" s="1"/>
  <c r="R104" i="10" s="1"/>
  <c r="S104" i="10" s="1"/>
  <c r="T104" i="10" s="1"/>
  <c r="U104" i="10" s="1"/>
  <c r="V104" i="10" s="1"/>
  <c r="W104" i="10" s="1"/>
  <c r="X104" i="10" s="1"/>
  <c r="Y104" i="10" s="1"/>
  <c r="Z104" i="10" s="1"/>
  <c r="AA104" i="10" s="1"/>
  <c r="AB104" i="10" s="1"/>
  <c r="AC104" i="10" s="1"/>
  <c r="AD104" i="10" s="1"/>
  <c r="AE104" i="10" s="1"/>
  <c r="AF104" i="10" s="1"/>
  <c r="AG104" i="10" s="1"/>
  <c r="AH104" i="10" s="1"/>
  <c r="AI104" i="10" s="1"/>
  <c r="AJ104" i="10" s="1"/>
  <c r="AK104" i="10" s="1"/>
  <c r="AL104" i="10" s="1"/>
  <c r="AM104" i="10" s="1"/>
  <c r="AN104" i="10" s="1"/>
  <c r="R119" i="10"/>
  <c r="O141" i="10"/>
  <c r="P141" i="10" s="1"/>
  <c r="Q141" i="10" s="1"/>
  <c r="R141" i="10" s="1"/>
  <c r="S141" i="10" s="1"/>
  <c r="T141" i="10" s="1"/>
  <c r="U141" i="10" s="1"/>
  <c r="V141" i="10" s="1"/>
  <c r="W141" i="10" s="1"/>
  <c r="X141" i="10" s="1"/>
  <c r="Y141" i="10" s="1"/>
  <c r="Z141" i="10" s="1"/>
  <c r="AA141" i="10" s="1"/>
  <c r="AB141" i="10" s="1"/>
  <c r="AC141" i="10" s="1"/>
  <c r="AD141" i="10" s="1"/>
  <c r="AE141" i="10" s="1"/>
  <c r="AF141" i="10" s="1"/>
  <c r="AG141" i="10" s="1"/>
  <c r="AH141" i="10" s="1"/>
  <c r="AI141" i="10" s="1"/>
  <c r="AJ141" i="10" s="1"/>
  <c r="AK141" i="10" s="1"/>
  <c r="AL141" i="10" s="1"/>
  <c r="AM141" i="10" s="1"/>
  <c r="AN141" i="10" s="1"/>
  <c r="AO141" i="10" s="1"/>
  <c r="AP141" i="10" s="1"/>
  <c r="AQ141" i="10" s="1"/>
  <c r="AR141" i="10" s="1"/>
  <c r="AS141" i="10" s="1"/>
  <c r="AT141" i="10" s="1"/>
  <c r="AU141" i="10" s="1"/>
  <c r="AV141" i="10" s="1"/>
  <c r="AW141" i="10" s="1"/>
  <c r="AX141" i="10" s="1"/>
  <c r="AY141" i="10" s="1"/>
  <c r="AZ141" i="10" s="1"/>
  <c r="BA141" i="10" s="1"/>
  <c r="BB141" i="10" s="1"/>
  <c r="BC141" i="10" s="1"/>
  <c r="BD141" i="10" s="1"/>
  <c r="BE141" i="10" s="1"/>
  <c r="BF141" i="10" s="1"/>
  <c r="BG141" i="10" s="1"/>
  <c r="BH141" i="10" s="1"/>
  <c r="BI141" i="10" s="1"/>
  <c r="BJ141" i="10" s="1"/>
  <c r="BK141" i="10" s="1"/>
  <c r="BL141" i="10" s="1"/>
  <c r="BM141" i="10" s="1"/>
  <c r="BN141" i="10" s="1"/>
  <c r="BO141" i="10" s="1"/>
  <c r="BP141" i="10" s="1"/>
  <c r="BQ141" i="10" s="1"/>
  <c r="BR141" i="10" s="1"/>
  <c r="BS141" i="10" s="1"/>
  <c r="BT141" i="10" s="1"/>
  <c r="BU141" i="10" s="1"/>
  <c r="BV141" i="10" s="1"/>
  <c r="BW141" i="10" s="1"/>
  <c r="D143" i="10"/>
  <c r="D145" i="10" s="1"/>
  <c r="O158" i="10"/>
  <c r="P158" i="10" s="1"/>
  <c r="Q158" i="10" s="1"/>
  <c r="R158" i="10" s="1"/>
  <c r="S158" i="10" s="1"/>
  <c r="T158" i="10" s="1"/>
  <c r="U158" i="10" s="1"/>
  <c r="V158" i="10" s="1"/>
  <c r="W158" i="10" s="1"/>
  <c r="X158" i="10" s="1"/>
  <c r="Y158" i="10" s="1"/>
  <c r="Z158" i="10" s="1"/>
  <c r="AA158" i="10" s="1"/>
  <c r="AB158" i="10" s="1"/>
  <c r="AC158" i="10" s="1"/>
  <c r="AD158" i="10" s="1"/>
  <c r="AE158" i="10" s="1"/>
  <c r="AF158" i="10" s="1"/>
  <c r="AG158" i="10" s="1"/>
  <c r="AH158" i="10" s="1"/>
  <c r="AI158" i="10" s="1"/>
  <c r="AJ158" i="10" s="1"/>
  <c r="AK158" i="10" s="1"/>
  <c r="AL158" i="10" s="1"/>
  <c r="AM158" i="10" s="1"/>
  <c r="AN158" i="10" s="1"/>
  <c r="AO158" i="10" s="1"/>
  <c r="AP158" i="10" s="1"/>
  <c r="AQ158" i="10" s="1"/>
  <c r="AR158" i="10" s="1"/>
  <c r="AS158" i="10" s="1"/>
  <c r="AT158" i="10" s="1"/>
  <c r="AU158" i="10" s="1"/>
  <c r="AV158" i="10" s="1"/>
  <c r="AW158" i="10" s="1"/>
  <c r="AX158" i="10" s="1"/>
  <c r="AY158" i="10" s="1"/>
  <c r="AZ158" i="10" s="1"/>
  <c r="BA158" i="10" s="1"/>
  <c r="BB158" i="10" s="1"/>
  <c r="BC158" i="10" s="1"/>
  <c r="BD158" i="10" s="1"/>
  <c r="BE158" i="10" s="1"/>
  <c r="BF158" i="10" s="1"/>
  <c r="BG158" i="10" s="1"/>
  <c r="BH158" i="10" s="1"/>
  <c r="BI158" i="10" s="1"/>
  <c r="BJ158" i="10" s="1"/>
  <c r="BK158" i="10" s="1"/>
  <c r="BL158" i="10" s="1"/>
  <c r="BM158" i="10" s="1"/>
  <c r="BN158" i="10" s="1"/>
  <c r="BO158" i="10" s="1"/>
  <c r="BP158" i="10" s="1"/>
  <c r="BQ158" i="10" s="1"/>
  <c r="BR158" i="10" s="1"/>
  <c r="BS158" i="10" s="1"/>
  <c r="BT158" i="10" s="1"/>
  <c r="BU158" i="10" s="1"/>
  <c r="BV158" i="10" s="1"/>
  <c r="BW158" i="10" s="1"/>
  <c r="D160" i="10"/>
  <c r="D162" i="10" s="1"/>
  <c r="N11" i="11"/>
  <c r="O10" i="11"/>
  <c r="S11" i="11"/>
  <c r="T10" i="11"/>
  <c r="K132" i="12"/>
  <c r="K129" i="12"/>
  <c r="CA9" i="12"/>
  <c r="CA11" i="12" s="1"/>
  <c r="CA5" i="12"/>
  <c r="CD5" i="12" s="1"/>
  <c r="CA6" i="12"/>
  <c r="CD6" i="12" s="1"/>
  <c r="CD50" i="12" s="1"/>
  <c r="AO97" i="12"/>
  <c r="BY74" i="12"/>
  <c r="L132" i="12"/>
  <c r="L129" i="12"/>
  <c r="O132" i="12"/>
  <c r="O129" i="12"/>
  <c r="AO113" i="12"/>
  <c r="BY75" i="12"/>
  <c r="R129" i="12"/>
  <c r="AO80" i="12"/>
  <c r="CB24" i="12"/>
  <c r="CB27" i="12" s="1"/>
  <c r="CA13" i="12"/>
  <c r="CD9" i="12"/>
  <c r="O84" i="12"/>
  <c r="P84" i="12" s="1"/>
  <c r="Q84" i="12" s="1"/>
  <c r="R84" i="12" s="1"/>
  <c r="S84" i="12" s="1"/>
  <c r="Q132" i="12"/>
  <c r="Q129" i="12"/>
  <c r="G104" i="12"/>
  <c r="H104" i="12" s="1"/>
  <c r="I104" i="12" s="1"/>
  <c r="J104" i="12" s="1"/>
  <c r="K104" i="12" s="1"/>
  <c r="L104" i="12" s="1"/>
  <c r="M104" i="12" s="1"/>
  <c r="N104" i="12" s="1"/>
  <c r="O104" i="12" s="1"/>
  <c r="P104" i="12" s="1"/>
  <c r="Q104" i="12" s="1"/>
  <c r="R104" i="12" s="1"/>
  <c r="S104" i="12" s="1"/>
  <c r="T104" i="12" s="1"/>
  <c r="U104" i="12" s="1"/>
  <c r="V104" i="12" s="1"/>
  <c r="W104" i="12" s="1"/>
  <c r="X104" i="12" s="1"/>
  <c r="Y104" i="12" s="1"/>
  <c r="Z104" i="12" s="1"/>
  <c r="AA104" i="12" s="1"/>
  <c r="AB104" i="12" s="1"/>
  <c r="AC104" i="12" s="1"/>
  <c r="AD104" i="12" s="1"/>
  <c r="AE104" i="12" s="1"/>
  <c r="AF104" i="12" s="1"/>
  <c r="AG104" i="12" s="1"/>
  <c r="AH104" i="12" s="1"/>
  <c r="AI104" i="12" s="1"/>
  <c r="AJ104" i="12" s="1"/>
  <c r="AK104" i="12" s="1"/>
  <c r="AL104" i="12" s="1"/>
  <c r="AM104" i="12" s="1"/>
  <c r="AN104" i="12" s="1"/>
  <c r="R119" i="12"/>
  <c r="O141" i="12"/>
  <c r="P141" i="12" s="1"/>
  <c r="Q141" i="12" s="1"/>
  <c r="R141" i="12" s="1"/>
  <c r="S141" i="12" s="1"/>
  <c r="T141" i="12" s="1"/>
  <c r="U141" i="12" s="1"/>
  <c r="V141" i="12" s="1"/>
  <c r="W141" i="12" s="1"/>
  <c r="X141" i="12" s="1"/>
  <c r="Y141" i="12" s="1"/>
  <c r="Z141" i="12" s="1"/>
  <c r="AA141" i="12" s="1"/>
  <c r="AB141" i="12" s="1"/>
  <c r="AC141" i="12" s="1"/>
  <c r="AD141" i="12" s="1"/>
  <c r="AE141" i="12" s="1"/>
  <c r="AF141" i="12" s="1"/>
  <c r="AG141" i="12" s="1"/>
  <c r="AH141" i="12" s="1"/>
  <c r="AI141" i="12" s="1"/>
  <c r="AJ141" i="12" s="1"/>
  <c r="AK141" i="12" s="1"/>
  <c r="AL141" i="12" s="1"/>
  <c r="AM141" i="12" s="1"/>
  <c r="AN141" i="12" s="1"/>
  <c r="AO141" i="12" s="1"/>
  <c r="AP141" i="12" s="1"/>
  <c r="AQ141" i="12" s="1"/>
  <c r="AR141" i="12" s="1"/>
  <c r="AS141" i="12" s="1"/>
  <c r="AT141" i="12" s="1"/>
  <c r="AU141" i="12" s="1"/>
  <c r="AV141" i="12" s="1"/>
  <c r="AW141" i="12" s="1"/>
  <c r="AX141" i="12" s="1"/>
  <c r="AY141" i="12" s="1"/>
  <c r="AZ141" i="12" s="1"/>
  <c r="BA141" i="12" s="1"/>
  <c r="BB141" i="12" s="1"/>
  <c r="BC141" i="12" s="1"/>
  <c r="BD141" i="12" s="1"/>
  <c r="BE141" i="12" s="1"/>
  <c r="BF141" i="12" s="1"/>
  <c r="BG141" i="12" s="1"/>
  <c r="BH141" i="12" s="1"/>
  <c r="BI141" i="12" s="1"/>
  <c r="BJ141" i="12" s="1"/>
  <c r="BK141" i="12" s="1"/>
  <c r="BL141" i="12" s="1"/>
  <c r="BM141" i="12" s="1"/>
  <c r="BN141" i="12" s="1"/>
  <c r="BO141" i="12" s="1"/>
  <c r="BP141" i="12" s="1"/>
  <c r="BQ141" i="12" s="1"/>
  <c r="BR141" i="12" s="1"/>
  <c r="BS141" i="12" s="1"/>
  <c r="BT141" i="12" s="1"/>
  <c r="BU141" i="12" s="1"/>
  <c r="BV141" i="12" s="1"/>
  <c r="BW141" i="12" s="1"/>
  <c r="D143" i="12"/>
  <c r="D145" i="12" s="1"/>
  <c r="O158" i="12"/>
  <c r="P158" i="12" s="1"/>
  <c r="Q158" i="12" s="1"/>
  <c r="R158" i="12" s="1"/>
  <c r="S158" i="12" s="1"/>
  <c r="T158" i="12" s="1"/>
  <c r="U158" i="12" s="1"/>
  <c r="V158" i="12" s="1"/>
  <c r="W158" i="12" s="1"/>
  <c r="X158" i="12" s="1"/>
  <c r="Y158" i="12" s="1"/>
  <c r="Z158" i="12" s="1"/>
  <c r="AA158" i="12" s="1"/>
  <c r="AB158" i="12" s="1"/>
  <c r="AC158" i="12" s="1"/>
  <c r="AD158" i="12" s="1"/>
  <c r="AE158" i="12" s="1"/>
  <c r="AF158" i="12" s="1"/>
  <c r="AG158" i="12" s="1"/>
  <c r="AH158" i="12" s="1"/>
  <c r="AI158" i="12" s="1"/>
  <c r="AJ158" i="12" s="1"/>
  <c r="AK158" i="12" s="1"/>
  <c r="AL158" i="12" s="1"/>
  <c r="AM158" i="12" s="1"/>
  <c r="AN158" i="12" s="1"/>
  <c r="AO158" i="12" s="1"/>
  <c r="AP158" i="12" s="1"/>
  <c r="AQ158" i="12" s="1"/>
  <c r="AR158" i="12" s="1"/>
  <c r="AS158" i="12" s="1"/>
  <c r="AT158" i="12" s="1"/>
  <c r="AU158" i="12" s="1"/>
  <c r="AV158" i="12" s="1"/>
  <c r="AW158" i="12" s="1"/>
  <c r="AX158" i="12" s="1"/>
  <c r="AY158" i="12" s="1"/>
  <c r="AZ158" i="12" s="1"/>
  <c r="BA158" i="12" s="1"/>
  <c r="BB158" i="12" s="1"/>
  <c r="BC158" i="12" s="1"/>
  <c r="BD158" i="12" s="1"/>
  <c r="BE158" i="12" s="1"/>
  <c r="BF158" i="12" s="1"/>
  <c r="BG158" i="12" s="1"/>
  <c r="BH158" i="12" s="1"/>
  <c r="BI158" i="12" s="1"/>
  <c r="BJ158" i="12" s="1"/>
  <c r="BK158" i="12" s="1"/>
  <c r="BL158" i="12" s="1"/>
  <c r="BM158" i="12" s="1"/>
  <c r="BN158" i="12" s="1"/>
  <c r="BO158" i="12" s="1"/>
  <c r="BP158" i="12" s="1"/>
  <c r="BQ158" i="12" s="1"/>
  <c r="BR158" i="12" s="1"/>
  <c r="BS158" i="12" s="1"/>
  <c r="BT158" i="12" s="1"/>
  <c r="BU158" i="12" s="1"/>
  <c r="BV158" i="12" s="1"/>
  <c r="BW158" i="12" s="1"/>
  <c r="D160" i="12"/>
  <c r="D162" i="12" s="1"/>
  <c r="D84" i="15"/>
  <c r="D86" i="15" s="1"/>
  <c r="D88" i="15" s="1"/>
  <c r="N82" i="15"/>
  <c r="O82" i="15" s="1"/>
  <c r="P82" i="15" s="1"/>
  <c r="Q82" i="15" s="1"/>
  <c r="R82" i="15" s="1"/>
  <c r="S82" i="15" s="1"/>
  <c r="T82" i="15" s="1"/>
  <c r="U82" i="15" s="1"/>
  <c r="V82" i="15" s="1"/>
  <c r="W82" i="15" s="1"/>
  <c r="X82" i="15" s="1"/>
  <c r="Y82" i="15" s="1"/>
  <c r="Z82" i="15" s="1"/>
  <c r="AA82" i="15" s="1"/>
  <c r="AB82" i="15" s="1"/>
  <c r="AC82" i="15" s="1"/>
  <c r="AD82" i="15" s="1"/>
  <c r="AE82" i="15" s="1"/>
  <c r="AF82" i="15" s="1"/>
  <c r="AG82" i="15" s="1"/>
  <c r="AH82" i="15" s="1"/>
  <c r="AI82" i="15" s="1"/>
  <c r="AJ82" i="15" s="1"/>
  <c r="AK82" i="15" s="1"/>
  <c r="AL82" i="15" s="1"/>
  <c r="AM82" i="15" s="1"/>
  <c r="AN82" i="15" s="1"/>
  <c r="AO82" i="15" s="1"/>
  <c r="AP82" i="15" s="1"/>
  <c r="AQ82" i="15" s="1"/>
  <c r="AR82" i="15" s="1"/>
  <c r="AS82" i="15" s="1"/>
  <c r="AT82" i="15" s="1"/>
  <c r="AU82" i="15" s="1"/>
  <c r="AV82" i="15" s="1"/>
  <c r="AW82" i="15" s="1"/>
  <c r="AX82" i="15" s="1"/>
  <c r="AY82" i="15" s="1"/>
  <c r="AZ82" i="15" s="1"/>
  <c r="BA82" i="15" s="1"/>
  <c r="BB82" i="15" s="1"/>
  <c r="BC82" i="15" s="1"/>
  <c r="BD82" i="15" s="1"/>
  <c r="BE82" i="15" s="1"/>
  <c r="BF82" i="15" s="1"/>
  <c r="BG82" i="15" s="1"/>
  <c r="BH82" i="15" s="1"/>
  <c r="BI82" i="15" s="1"/>
  <c r="BJ82" i="15" s="1"/>
  <c r="BK82" i="15" s="1"/>
  <c r="BL82" i="15" s="1"/>
  <c r="BM82" i="15" s="1"/>
  <c r="BN82" i="15" s="1"/>
  <c r="BO82" i="15" s="1"/>
  <c r="BP82" i="15" s="1"/>
  <c r="BQ82" i="15" s="1"/>
  <c r="BR82" i="15" s="1"/>
  <c r="BS82" i="15" s="1"/>
  <c r="BT82" i="15" s="1"/>
  <c r="BU82" i="15" s="1"/>
  <c r="BV82" i="15" s="1"/>
  <c r="BW82" i="15" s="1"/>
  <c r="BX82" i="15" s="1"/>
  <c r="F22" i="17"/>
  <c r="C23" i="17" s="1"/>
  <c r="F31" i="17"/>
  <c r="J26" i="17"/>
  <c r="AD48" i="9" l="1"/>
  <c r="AD39" i="9" s="1"/>
  <c r="AD14" i="9" s="1"/>
  <c r="AF15" i="9" s="1"/>
  <c r="AF17" i="9" s="1"/>
  <c r="AM48" i="9"/>
  <c r="AM39" i="9" s="1"/>
  <c r="AM14" i="9" s="1"/>
  <c r="AL48" i="9"/>
  <c r="AL39" i="9" s="1"/>
  <c r="AL14" i="9" s="1"/>
  <c r="AM12" i="9"/>
  <c r="AL29" i="9"/>
  <c r="AL28" i="9" s="1"/>
  <c r="AD29" i="9"/>
  <c r="AE29" i="9"/>
  <c r="AF29" i="9"/>
  <c r="AG29" i="9"/>
  <c r="AH29" i="9"/>
  <c r="AI29" i="9"/>
  <c r="AJ29" i="9"/>
  <c r="AK29" i="9"/>
  <c r="AK28" i="9" s="1"/>
  <c r="AB39" i="9"/>
  <c r="AB14" i="9" s="1"/>
  <c r="AD15" i="9" s="1"/>
  <c r="AD17" i="9" s="1"/>
  <c r="AK39" i="9"/>
  <c r="AK14" i="9" s="1"/>
  <c r="J29" i="2"/>
  <c r="J30" i="2" s="1"/>
  <c r="M31" i="2"/>
  <c r="AJ28" i="9"/>
  <c r="AA39" i="9"/>
  <c r="AA14" i="9" s="1"/>
  <c r="AC15" i="9" s="1"/>
  <c r="AC17" i="9" s="1"/>
  <c r="F32" i="17"/>
  <c r="F36" i="17"/>
  <c r="F35" i="17"/>
  <c r="F29" i="17"/>
  <c r="F28" i="17"/>
  <c r="F24" i="17"/>
  <c r="F30" i="17"/>
  <c r="F33" i="17"/>
  <c r="F34" i="17"/>
  <c r="F37" i="17"/>
  <c r="F38" i="17"/>
  <c r="S119" i="12"/>
  <c r="T119" i="12" s="1"/>
  <c r="U119" i="12" s="1"/>
  <c r="V119" i="12" s="1"/>
  <c r="W119" i="12" s="1"/>
  <c r="X119" i="12" s="1"/>
  <c r="Y119" i="12" s="1"/>
  <c r="Z119" i="12" s="1"/>
  <c r="AA119" i="12" s="1"/>
  <c r="AB119" i="12" s="1"/>
  <c r="AC119" i="12" s="1"/>
  <c r="AD119" i="12" s="1"/>
  <c r="AE119" i="12" s="1"/>
  <c r="AF119" i="12" s="1"/>
  <c r="AG119" i="12" s="1"/>
  <c r="AH119" i="12" s="1"/>
  <c r="AI119" i="12" s="1"/>
  <c r="AJ119" i="12" s="1"/>
  <c r="AK119" i="12" s="1"/>
  <c r="AL119" i="12" s="1"/>
  <c r="AM119" i="12" s="1"/>
  <c r="AN119" i="12" s="1"/>
  <c r="CD53" i="12"/>
  <c r="BY80" i="12"/>
  <c r="BZ74" i="12" s="1"/>
  <c r="BY81" i="12" s="1"/>
  <c r="AO73" i="12"/>
  <c r="AO89" i="12"/>
  <c r="CD49" i="12"/>
  <c r="CE5" i="12"/>
  <c r="CA12" i="12"/>
  <c r="CD11" i="12"/>
  <c r="S129" i="12"/>
  <c r="D130" i="12" s="1"/>
  <c r="S132" i="12"/>
  <c r="D133" i="12" s="1"/>
  <c r="S12" i="11"/>
  <c r="T11" i="11"/>
  <c r="N12" i="11"/>
  <c r="O11" i="11"/>
  <c r="S119" i="10"/>
  <c r="T119" i="10" s="1"/>
  <c r="U119" i="10" s="1"/>
  <c r="V119" i="10" s="1"/>
  <c r="W119" i="10" s="1"/>
  <c r="X119" i="10" s="1"/>
  <c r="Y119" i="10" s="1"/>
  <c r="Z119" i="10" s="1"/>
  <c r="AA119" i="10" s="1"/>
  <c r="AB119" i="10" s="1"/>
  <c r="AC119" i="10" s="1"/>
  <c r="AD119" i="10" s="1"/>
  <c r="AE119" i="10" s="1"/>
  <c r="AF119" i="10" s="1"/>
  <c r="AG119" i="10" s="1"/>
  <c r="AH119" i="10" s="1"/>
  <c r="AI119" i="10" s="1"/>
  <c r="AJ119" i="10" s="1"/>
  <c r="AK119" i="10" s="1"/>
  <c r="AL119" i="10" s="1"/>
  <c r="AM119" i="10" s="1"/>
  <c r="AN119" i="10" s="1"/>
  <c r="CD53" i="10"/>
  <c r="BY80" i="10"/>
  <c r="BZ74" i="10" s="1"/>
  <c r="BY81" i="10" s="1"/>
  <c r="AO73" i="10"/>
  <c r="AO89" i="10"/>
  <c r="CD49" i="10"/>
  <c r="CE5" i="10"/>
  <c r="CA12" i="10"/>
  <c r="CD11" i="10"/>
  <c r="S129" i="10"/>
  <c r="D130" i="10" s="1"/>
  <c r="S132" i="10"/>
  <c r="D133" i="10" s="1"/>
  <c r="S120" i="9"/>
  <c r="T120" i="9" s="1"/>
  <c r="U120" i="9" s="1"/>
  <c r="V120" i="9" s="1"/>
  <c r="W120" i="9" s="1"/>
  <c r="X120" i="9" s="1"/>
  <c r="Y120" i="9" s="1"/>
  <c r="Z120" i="9" s="1"/>
  <c r="AA120" i="9" s="1"/>
  <c r="AB120" i="9" s="1"/>
  <c r="AC120" i="9" s="1"/>
  <c r="AD120" i="9" s="1"/>
  <c r="AE120" i="9" s="1"/>
  <c r="AF120" i="9" s="1"/>
  <c r="AG120" i="9" s="1"/>
  <c r="AH120" i="9" s="1"/>
  <c r="AI120" i="9" s="1"/>
  <c r="L105" i="9"/>
  <c r="M105" i="9" s="1"/>
  <c r="N105" i="9" s="1"/>
  <c r="O105" i="9" s="1"/>
  <c r="P105" i="9" s="1"/>
  <c r="Q105" i="9" s="1"/>
  <c r="R105" i="9" s="1"/>
  <c r="S105" i="9" s="1"/>
  <c r="T105" i="9" s="1"/>
  <c r="U105" i="9" s="1"/>
  <c r="V105" i="9" s="1"/>
  <c r="W105" i="9" s="1"/>
  <c r="X105" i="9" s="1"/>
  <c r="Y105" i="9" s="1"/>
  <c r="Z105" i="9" s="1"/>
  <c r="AA105" i="9" s="1"/>
  <c r="AB105" i="9" s="1"/>
  <c r="AC105" i="9" s="1"/>
  <c r="AD105" i="9" s="1"/>
  <c r="AE105" i="9" s="1"/>
  <c r="AF105" i="9" s="1"/>
  <c r="AG105" i="9" s="1"/>
  <c r="AH105" i="9" s="1"/>
  <c r="AI105" i="9" s="1"/>
  <c r="BZ9" i="9"/>
  <c r="CA11" i="9" s="1"/>
  <c r="AJ90" i="9"/>
  <c r="S120" i="8"/>
  <c r="T120" i="8" s="1"/>
  <c r="U120" i="8" s="1"/>
  <c r="V120" i="8" s="1"/>
  <c r="W120" i="8" s="1"/>
  <c r="X120" i="8" s="1"/>
  <c r="Y120" i="8" s="1"/>
  <c r="Z120" i="8" s="1"/>
  <c r="AA120" i="8" s="1"/>
  <c r="AB120" i="8" s="1"/>
  <c r="AC120" i="8" s="1"/>
  <c r="AD120" i="8" s="1"/>
  <c r="AE120" i="8" s="1"/>
  <c r="AF120" i="8" s="1"/>
  <c r="AG120" i="8" s="1"/>
  <c r="AH120" i="8" s="1"/>
  <c r="AI120" i="8" s="1"/>
  <c r="L105" i="8"/>
  <c r="M105" i="8" s="1"/>
  <c r="N105" i="8" s="1"/>
  <c r="O105" i="8" s="1"/>
  <c r="P105" i="8" s="1"/>
  <c r="Q105" i="8" s="1"/>
  <c r="R105" i="8" s="1"/>
  <c r="S105" i="8" s="1"/>
  <c r="T105" i="8" s="1"/>
  <c r="U105" i="8" s="1"/>
  <c r="V105" i="8" s="1"/>
  <c r="W105" i="8" s="1"/>
  <c r="X105" i="8" s="1"/>
  <c r="Y105" i="8" s="1"/>
  <c r="Z105" i="8" s="1"/>
  <c r="AA105" i="8" s="1"/>
  <c r="AB105" i="8" s="1"/>
  <c r="AC105" i="8" s="1"/>
  <c r="AD105" i="8" s="1"/>
  <c r="AE105" i="8" s="1"/>
  <c r="AF105" i="8" s="1"/>
  <c r="AG105" i="8" s="1"/>
  <c r="AH105" i="8" s="1"/>
  <c r="AI105" i="8" s="1"/>
  <c r="CD54" i="8"/>
  <c r="CD10" i="8"/>
  <c r="CE9" i="8" s="1"/>
  <c r="CA13" i="8"/>
  <c r="CA14" i="8" s="1"/>
  <c r="BY81" i="8"/>
  <c r="BZ75" i="8" s="1"/>
  <c r="BY82" i="8" s="1"/>
  <c r="AJ74" i="8"/>
  <c r="AJ90" i="8"/>
  <c r="P119" i="6"/>
  <c r="Q119" i="6" s="1"/>
  <c r="R119" i="6" s="1"/>
  <c r="S119" i="6" s="1"/>
  <c r="T119" i="6" s="1"/>
  <c r="U119" i="6" s="1"/>
  <c r="V119" i="6" s="1"/>
  <c r="W119" i="6" s="1"/>
  <c r="X119" i="6" s="1"/>
  <c r="Y119" i="6" s="1"/>
  <c r="Z119" i="6" s="1"/>
  <c r="AA119" i="6" s="1"/>
  <c r="AB119" i="6" s="1"/>
  <c r="AC119" i="6" s="1"/>
  <c r="AD119" i="6" s="1"/>
  <c r="AE119" i="6" s="1"/>
  <c r="AF119" i="6" s="1"/>
  <c r="AG119" i="6" s="1"/>
  <c r="AH119" i="6" s="1"/>
  <c r="L104" i="6"/>
  <c r="M104" i="6" s="1"/>
  <c r="N104" i="6" s="1"/>
  <c r="O104" i="6" s="1"/>
  <c r="P104" i="6" s="1"/>
  <c r="Q104" i="6" s="1"/>
  <c r="R104" i="6" s="1"/>
  <c r="S104" i="6" s="1"/>
  <c r="T104" i="6" s="1"/>
  <c r="U104" i="6" s="1"/>
  <c r="V104" i="6" s="1"/>
  <c r="W104" i="6" s="1"/>
  <c r="X104" i="6" s="1"/>
  <c r="Y104" i="6" s="1"/>
  <c r="Z104" i="6" s="1"/>
  <c r="AA104" i="6" s="1"/>
  <c r="AB104" i="6" s="1"/>
  <c r="AC104" i="6" s="1"/>
  <c r="AD104" i="6" s="1"/>
  <c r="AE104" i="6" s="1"/>
  <c r="AF104" i="6" s="1"/>
  <c r="AG104" i="6" s="1"/>
  <c r="AH104" i="6" s="1"/>
  <c r="U37" i="15"/>
  <c r="S39" i="15"/>
  <c r="T39" i="15" s="1"/>
  <c r="U39" i="15" s="1"/>
  <c r="V39" i="15" s="1"/>
  <c r="W39" i="15" s="1"/>
  <c r="X39" i="15" s="1"/>
  <c r="Y39" i="15" s="1"/>
  <c r="Z39" i="15" s="1"/>
  <c r="AA39" i="15" s="1"/>
  <c r="AB39" i="15" s="1"/>
  <c r="AC39" i="15" s="1"/>
  <c r="AD39" i="15" s="1"/>
  <c r="AE39" i="15" s="1"/>
  <c r="AF39" i="15" s="1"/>
  <c r="AG39" i="15" s="1"/>
  <c r="AH39" i="15" s="1"/>
  <c r="CK5" i="15"/>
  <c r="O46" i="15"/>
  <c r="O50" i="15" s="1"/>
  <c r="O51" i="15" s="1"/>
  <c r="P51" i="15" s="1"/>
  <c r="Q51" i="15" s="1"/>
  <c r="R51" i="15" s="1"/>
  <c r="S51" i="15" s="1"/>
  <c r="T51" i="15" s="1"/>
  <c r="U51" i="15" s="1"/>
  <c r="V51" i="15" s="1"/>
  <c r="W51" i="15" s="1"/>
  <c r="X51" i="15" s="1"/>
  <c r="Y51" i="15" s="1"/>
  <c r="Z51" i="15" s="1"/>
  <c r="AA51" i="15" s="1"/>
  <c r="AB51" i="15" s="1"/>
  <c r="AC51" i="15" s="1"/>
  <c r="AD51" i="15" s="1"/>
  <c r="AE51" i="15" s="1"/>
  <c r="AF51" i="15" s="1"/>
  <c r="AG51" i="15" s="1"/>
  <c r="AH51" i="15" s="1"/>
  <c r="CK6" i="15"/>
  <c r="O62" i="15"/>
  <c r="O65" i="15" s="1"/>
  <c r="O66" i="15" s="1"/>
  <c r="P66" i="15" s="1"/>
  <c r="Q66" i="15" s="1"/>
  <c r="R66" i="15" s="1"/>
  <c r="S66" i="15" s="1"/>
  <c r="T66" i="15" s="1"/>
  <c r="U66" i="15" s="1"/>
  <c r="V66" i="15" s="1"/>
  <c r="W66" i="15" s="1"/>
  <c r="X66" i="15" s="1"/>
  <c r="Y66" i="15" s="1"/>
  <c r="Z66" i="15" s="1"/>
  <c r="AA66" i="15" s="1"/>
  <c r="AB66" i="15" s="1"/>
  <c r="AC66" i="15" s="1"/>
  <c r="AD66" i="15" s="1"/>
  <c r="AE66" i="15" s="1"/>
  <c r="AF66" i="15" s="1"/>
  <c r="AG66" i="15" s="1"/>
  <c r="AH66" i="15" s="1"/>
  <c r="AI66" i="15" s="1"/>
  <c r="AJ66" i="15" s="1"/>
  <c r="AK66" i="15" s="1"/>
  <c r="AL66" i="15" s="1"/>
  <c r="AM66" i="15" s="1"/>
  <c r="AN66" i="15" s="1"/>
  <c r="AO66" i="15" s="1"/>
  <c r="AP66" i="15" s="1"/>
  <c r="AQ66" i="15" s="1"/>
  <c r="AR66" i="15" s="1"/>
  <c r="AS66" i="15" s="1"/>
  <c r="AT66" i="15" s="1"/>
  <c r="AU66" i="15" s="1"/>
  <c r="AV66" i="15" s="1"/>
  <c r="AW66" i="15" s="1"/>
  <c r="AX66" i="15" s="1"/>
  <c r="AY66" i="15" s="1"/>
  <c r="AZ66" i="15" s="1"/>
  <c r="BA66" i="15" s="1"/>
  <c r="BB66" i="15" s="1"/>
  <c r="BC66" i="15" s="1"/>
  <c r="BD66" i="15" s="1"/>
  <c r="BE66" i="15" s="1"/>
  <c r="BF66" i="15" s="1"/>
  <c r="BG66" i="15" s="1"/>
  <c r="BH66" i="15" s="1"/>
  <c r="BI66" i="15" s="1"/>
  <c r="BJ66" i="15" s="1"/>
  <c r="BK66" i="15" s="1"/>
  <c r="BL66" i="15" s="1"/>
  <c r="BM66" i="15" s="1"/>
  <c r="BN66" i="15" s="1"/>
  <c r="BO66" i="15" s="1"/>
  <c r="BP66" i="15" s="1"/>
  <c r="BQ66" i="15" s="1"/>
  <c r="BR66" i="15" s="1"/>
  <c r="BS66" i="15" s="1"/>
  <c r="BT66" i="15" s="1"/>
  <c r="BU66" i="15" s="1"/>
  <c r="BV66" i="15" s="1"/>
  <c r="BW66" i="15" s="1"/>
  <c r="BX66" i="15" s="1"/>
  <c r="CK7" i="15"/>
  <c r="CD5" i="6"/>
  <c r="AI25" i="15"/>
  <c r="AI113" i="6"/>
  <c r="BY75" i="6"/>
  <c r="AH28" i="12"/>
  <c r="AH27" i="12" s="1"/>
  <c r="AG28" i="12"/>
  <c r="AG27" i="12" s="1"/>
  <c r="AF28" i="12"/>
  <c r="AF27" i="12" s="1"/>
  <c r="AE28" i="12"/>
  <c r="AE27" i="12" s="1"/>
  <c r="AD28" i="12"/>
  <c r="AD27" i="12" s="1"/>
  <c r="AC28" i="12"/>
  <c r="AC27" i="12" s="1"/>
  <c r="AB28" i="12"/>
  <c r="AB27" i="12" s="1"/>
  <c r="AA28" i="12"/>
  <c r="AA27" i="12" s="1"/>
  <c r="Z28" i="12"/>
  <c r="AN28" i="10"/>
  <c r="AN27" i="10" s="1"/>
  <c r="AM28" i="10"/>
  <c r="AM27" i="10" s="1"/>
  <c r="AL28" i="10"/>
  <c r="AL27" i="10" s="1"/>
  <c r="AK28" i="10"/>
  <c r="AK27" i="10" s="1"/>
  <c r="AJ28" i="10"/>
  <c r="AJ27" i="10" s="1"/>
  <c r="AI28" i="10"/>
  <c r="AI27" i="10" s="1"/>
  <c r="AH28" i="10"/>
  <c r="AH27" i="10" s="1"/>
  <c r="AG28" i="10"/>
  <c r="AI28" i="9"/>
  <c r="AH28" i="9"/>
  <c r="AH82" i="9" s="1"/>
  <c r="AH84" i="9" s="1"/>
  <c r="AG28" i="9"/>
  <c r="AG82" i="9" s="1"/>
  <c r="AG84" i="9" s="1"/>
  <c r="AF28" i="9"/>
  <c r="AF82" i="9" s="1"/>
  <c r="AF84" i="9" s="1"/>
  <c r="AE28" i="9"/>
  <c r="AE82" i="9" s="1"/>
  <c r="AE84" i="9" s="1"/>
  <c r="AD28" i="9"/>
  <c r="AD82" i="9" s="1"/>
  <c r="AD84" i="9" s="1"/>
  <c r="AC28" i="9"/>
  <c r="AB28" i="9"/>
  <c r="AB82" i="9" s="1"/>
  <c r="AH29" i="8"/>
  <c r="AH28" i="8" s="1"/>
  <c r="AG29" i="8"/>
  <c r="AG28" i="8" s="1"/>
  <c r="AF29" i="8"/>
  <c r="AF28" i="8" s="1"/>
  <c r="AE29" i="8"/>
  <c r="AE28" i="8" s="1"/>
  <c r="AD29" i="8"/>
  <c r="AD28" i="8" s="1"/>
  <c r="AC29" i="8"/>
  <c r="AC28" i="8" s="1"/>
  <c r="AB29" i="8"/>
  <c r="AB28" i="8" s="1"/>
  <c r="AA29" i="8"/>
  <c r="AH28" i="6"/>
  <c r="AH27" i="6" s="1"/>
  <c r="AG28" i="6"/>
  <c r="AG27" i="6" s="1"/>
  <c r="AF28" i="6"/>
  <c r="AF27" i="6" s="1"/>
  <c r="AE28" i="6"/>
  <c r="AE27" i="6" s="1"/>
  <c r="AD28" i="6"/>
  <c r="AD27" i="6" s="1"/>
  <c r="AC28" i="6"/>
  <c r="AC27" i="6" s="1"/>
  <c r="AB28" i="6"/>
  <c r="AB27" i="6" s="1"/>
  <c r="AA28" i="6"/>
  <c r="AA27" i="6" s="1"/>
  <c r="Z28" i="6"/>
  <c r="E63" i="2"/>
  <c r="E59" i="2"/>
  <c r="E55" i="2"/>
  <c r="F41" i="2"/>
  <c r="F22" i="2"/>
  <c r="BY63" i="6"/>
  <c r="BY64" i="8"/>
  <c r="AI63" i="8"/>
  <c r="AI82" i="8" s="1"/>
  <c r="BY64" i="9"/>
  <c r="AI63" i="9"/>
  <c r="BY63" i="10"/>
  <c r="BY63" i="12"/>
  <c r="AO47" i="12"/>
  <c r="AO38" i="12" s="1"/>
  <c r="V47" i="12"/>
  <c r="AO47" i="10"/>
  <c r="AO38" i="10" s="1"/>
  <c r="V47" i="10"/>
  <c r="AJ39" i="9"/>
  <c r="AJ48" i="8"/>
  <c r="AJ39" i="8" s="1"/>
  <c r="W48" i="8"/>
  <c r="AE47" i="6"/>
  <c r="V47" i="6"/>
  <c r="AO12" i="12"/>
  <c r="AO12" i="10"/>
  <c r="AJ12" i="8"/>
  <c r="AI12" i="6"/>
  <c r="R29" i="2"/>
  <c r="R19" i="2"/>
  <c r="R21" i="2" s="1"/>
  <c r="AM13" i="9" l="1"/>
  <c r="AM17" i="9" s="1"/>
  <c r="AM81" i="9"/>
  <c r="AM74" i="9" s="1"/>
  <c r="CA12" i="9"/>
  <c r="AK74" i="9"/>
  <c r="AL74" i="9"/>
  <c r="N24" i="2"/>
  <c r="BY12" i="6"/>
  <c r="BY12" i="8"/>
  <c r="BY12" i="9"/>
  <c r="BY12" i="10"/>
  <c r="BY12" i="12"/>
  <c r="BY47" i="6"/>
  <c r="BY48" i="8"/>
  <c r="AJ14" i="8"/>
  <c r="BY48" i="9"/>
  <c r="AJ14" i="9"/>
  <c r="AL15" i="9" s="1"/>
  <c r="BY47" i="10"/>
  <c r="BY47" i="12"/>
  <c r="Y26" i="12"/>
  <c r="AC26" i="10"/>
  <c r="AC24" i="10" s="1"/>
  <c r="Y26" i="10"/>
  <c r="V26" i="6"/>
  <c r="V24" i="6" s="1"/>
  <c r="R26" i="6"/>
  <c r="C23" i="2"/>
  <c r="BY28" i="6"/>
  <c r="BY27" i="6" s="1"/>
  <c r="Z27" i="6"/>
  <c r="BY29" i="8"/>
  <c r="BY28" i="8" s="1"/>
  <c r="AA28" i="8"/>
  <c r="BY29" i="9"/>
  <c r="BY28" i="9" s="1"/>
  <c r="AA28" i="9"/>
  <c r="AA82" i="9" s="1"/>
  <c r="AI82" i="9"/>
  <c r="AI84" i="9" s="1"/>
  <c r="BY28" i="10"/>
  <c r="BY27" i="10" s="1"/>
  <c r="AG27" i="10"/>
  <c r="BY28" i="12"/>
  <c r="BY27" i="12" s="1"/>
  <c r="Z27" i="12"/>
  <c r="AI89" i="6"/>
  <c r="AI44" i="15"/>
  <c r="AI50" i="15" s="1"/>
  <c r="AI28" i="15"/>
  <c r="CK28" i="15" s="1"/>
  <c r="AI27" i="15"/>
  <c r="CK27" i="15" s="1"/>
  <c r="AI26" i="15"/>
  <c r="CK26" i="15" s="1"/>
  <c r="CK25" i="15"/>
  <c r="CL24" i="15" s="1"/>
  <c r="CD49" i="6"/>
  <c r="CE5" i="6"/>
  <c r="AI51" i="15"/>
  <c r="AJ51" i="15" s="1"/>
  <c r="AK51" i="15" s="1"/>
  <c r="AL51" i="15" s="1"/>
  <c r="AM51" i="15" s="1"/>
  <c r="AN51" i="15" s="1"/>
  <c r="AO51" i="15" s="1"/>
  <c r="AP51" i="15" s="1"/>
  <c r="AQ51" i="15" s="1"/>
  <c r="AR51" i="15" s="1"/>
  <c r="AS51" i="15" s="1"/>
  <c r="AT51" i="15" s="1"/>
  <c r="AU51" i="15" s="1"/>
  <c r="AV51" i="15" s="1"/>
  <c r="AW51" i="15" s="1"/>
  <c r="AX51" i="15" s="1"/>
  <c r="AY51" i="15" s="1"/>
  <c r="AZ51" i="15" s="1"/>
  <c r="BA51" i="15" s="1"/>
  <c r="BB51" i="15" s="1"/>
  <c r="BC51" i="15" s="1"/>
  <c r="BD51" i="15" s="1"/>
  <c r="BE51" i="15" s="1"/>
  <c r="BF51" i="15" s="1"/>
  <c r="BG51" i="15" s="1"/>
  <c r="BH51" i="15" s="1"/>
  <c r="BI51" i="15" s="1"/>
  <c r="BJ51" i="15" s="1"/>
  <c r="BK51" i="15" s="1"/>
  <c r="BL51" i="15" s="1"/>
  <c r="BM51" i="15" s="1"/>
  <c r="BN51" i="15" s="1"/>
  <c r="BO51" i="15" s="1"/>
  <c r="BP51" i="15" s="1"/>
  <c r="BQ51" i="15" s="1"/>
  <c r="BR51" i="15" s="1"/>
  <c r="BS51" i="15" s="1"/>
  <c r="BT51" i="15" s="1"/>
  <c r="BU51" i="15" s="1"/>
  <c r="BV51" i="15" s="1"/>
  <c r="BW51" i="15" s="1"/>
  <c r="BX51" i="15" s="1"/>
  <c r="CL3" i="15"/>
  <c r="CD55" i="10"/>
  <c r="CE9" i="10"/>
  <c r="N13" i="11"/>
  <c r="O12" i="11"/>
  <c r="S13" i="11"/>
  <c r="T12" i="11"/>
  <c r="CD55" i="12"/>
  <c r="CE9" i="12"/>
  <c r="R30" i="17"/>
  <c r="Q61" i="17"/>
  <c r="Q60" i="17"/>
  <c r="Q59" i="17"/>
  <c r="Q58" i="17"/>
  <c r="F41" i="17"/>
  <c r="F40" i="17"/>
  <c r="C44" i="17" s="1"/>
  <c r="AM70" i="9" l="1"/>
  <c r="AM63" i="9" s="1"/>
  <c r="AK63" i="9"/>
  <c r="AL63" i="9"/>
  <c r="AL17" i="9"/>
  <c r="AK17" i="9"/>
  <c r="C47" i="17"/>
  <c r="F45" i="17"/>
  <c r="R52" i="17"/>
  <c r="Q52" i="17"/>
  <c r="Q51" i="17"/>
  <c r="Q50" i="17"/>
  <c r="Q49" i="17"/>
  <c r="R23" i="17"/>
  <c r="S14" i="11"/>
  <c r="T13" i="11"/>
  <c r="N14" i="11"/>
  <c r="O13" i="11"/>
  <c r="BY81" i="9"/>
  <c r="BZ75" i="9" s="1"/>
  <c r="BY82" i="9" s="1"/>
  <c r="AJ74" i="9"/>
  <c r="R39" i="2"/>
  <c r="F24" i="2"/>
  <c r="BY26" i="6"/>
  <c r="BY24" i="6" s="1"/>
  <c r="R24" i="6"/>
  <c r="BY27" i="9"/>
  <c r="BY24" i="9" s="1"/>
  <c r="Y24" i="9"/>
  <c r="BY26" i="10"/>
  <c r="BY24" i="10" s="1"/>
  <c r="Y24" i="10"/>
  <c r="BY26" i="12"/>
  <c r="BY24" i="12" s="1"/>
  <c r="Y24" i="12"/>
  <c r="AO69" i="12"/>
  <c r="AO69" i="10"/>
  <c r="AJ70" i="8"/>
  <c r="AI69" i="6"/>
  <c r="AO13" i="12"/>
  <c r="AO13" i="10"/>
  <c r="AJ13" i="8"/>
  <c r="AI13" i="6"/>
  <c r="R31" i="2"/>
  <c r="BY13" i="6" l="1"/>
  <c r="BY13" i="8"/>
  <c r="BY13" i="9"/>
  <c r="AJ17" i="9"/>
  <c r="BY13" i="10"/>
  <c r="AO17" i="10"/>
  <c r="BY13" i="12"/>
  <c r="AO17" i="12"/>
  <c r="BY69" i="6"/>
  <c r="BY62" i="6" s="1"/>
  <c r="AI62" i="6"/>
  <c r="BY70" i="8"/>
  <c r="BY63" i="8" s="1"/>
  <c r="AJ63" i="8"/>
  <c r="BY70" i="9"/>
  <c r="BY63" i="9" s="1"/>
  <c r="AJ63" i="9"/>
  <c r="BY69" i="10"/>
  <c r="BY62" i="10" s="1"/>
  <c r="AO62" i="10"/>
  <c r="BY69" i="12"/>
  <c r="BY62" i="12" s="1"/>
  <c r="AO62" i="12"/>
  <c r="Y14" i="9"/>
  <c r="Y82" i="9"/>
  <c r="N15" i="11"/>
  <c r="O14" i="11"/>
  <c r="S15" i="11"/>
  <c r="T14" i="11"/>
  <c r="C49" i="17"/>
  <c r="N23" i="17"/>
  <c r="R43" i="17"/>
  <c r="Q43" i="17" s="1"/>
  <c r="Q42" i="17"/>
  <c r="Q41" i="17"/>
  <c r="Q40" i="17"/>
  <c r="Q39" i="17"/>
  <c r="N20" i="17"/>
  <c r="N21" i="17" s="1"/>
  <c r="N25" i="17"/>
  <c r="R24" i="17" l="1"/>
  <c r="R25" i="17" s="1"/>
  <c r="M29" i="17"/>
  <c r="S16" i="11"/>
  <c r="T15" i="11"/>
  <c r="N16" i="11"/>
  <c r="O15" i="11"/>
  <c r="Y17" i="9"/>
  <c r="Y84" i="9" s="1"/>
  <c r="AA17" i="9"/>
  <c r="AA84" i="9" s="1"/>
  <c r="CD13" i="12"/>
  <c r="CD57" i="12" s="1"/>
  <c r="CD13" i="10"/>
  <c r="CD57" i="10" s="1"/>
  <c r="CD13" i="8"/>
  <c r="CD58" i="8" s="1"/>
  <c r="CD13" i="6"/>
  <c r="CD57" i="6" s="1"/>
  <c r="N17" i="11" l="1"/>
  <c r="O16" i="11"/>
  <c r="S17" i="11"/>
  <c r="T16" i="11"/>
  <c r="N33" i="17"/>
  <c r="N32" i="17"/>
  <c r="N31" i="17"/>
  <c r="R29" i="17"/>
  <c r="R31" i="17" s="1"/>
  <c r="S18" i="11" l="1"/>
  <c r="T17" i="11"/>
  <c r="N18" i="11"/>
  <c r="O17" i="11"/>
  <c r="N19" i="11" l="1"/>
  <c r="O18" i="11"/>
  <c r="S19" i="11"/>
  <c r="T18" i="11"/>
  <c r="S20" i="11" l="1"/>
  <c r="T19" i="11"/>
  <c r="N20" i="11"/>
  <c r="O19" i="11"/>
  <c r="N21" i="11" l="1"/>
  <c r="O20" i="11"/>
  <c r="S21" i="11"/>
  <c r="T20" i="11"/>
  <c r="S22" i="11" l="1"/>
  <c r="T21" i="11"/>
  <c r="N22" i="11"/>
  <c r="O21" i="11"/>
  <c r="N23" i="11" l="1"/>
  <c r="O22" i="11"/>
  <c r="S23" i="11"/>
  <c r="T22" i="11"/>
  <c r="S24" i="11" l="1"/>
  <c r="T23" i="11"/>
  <c r="N24" i="11"/>
  <c r="O23" i="11"/>
  <c r="N25" i="11" l="1"/>
  <c r="O24" i="11"/>
  <c r="S25" i="11"/>
  <c r="T24" i="11"/>
  <c r="S26" i="11" l="1"/>
  <c r="T25" i="11"/>
  <c r="N26" i="11"/>
  <c r="O25" i="11"/>
  <c r="N27" i="11" l="1"/>
  <c r="O26" i="11"/>
  <c r="S27" i="11"/>
  <c r="T26" i="11"/>
  <c r="S28" i="11" l="1"/>
  <c r="T27" i="11"/>
  <c r="N28" i="11"/>
  <c r="O27" i="11"/>
  <c r="N29" i="11" l="1"/>
  <c r="O28" i="11"/>
  <c r="S29" i="11"/>
  <c r="T28" i="11"/>
  <c r="S30" i="11" l="1"/>
  <c r="T29" i="11"/>
  <c r="N30" i="11"/>
  <c r="O29" i="11"/>
  <c r="N31" i="11" l="1"/>
  <c r="O30" i="11"/>
  <c r="S31" i="11"/>
  <c r="T30" i="11"/>
  <c r="S32" i="11" l="1"/>
  <c r="T31" i="11"/>
  <c r="N32" i="11"/>
  <c r="O31" i="11"/>
  <c r="N33" i="11" l="1"/>
  <c r="O32" i="11"/>
  <c r="S33" i="11"/>
  <c r="T32" i="11"/>
  <c r="S34" i="11" l="1"/>
  <c r="T33" i="11"/>
  <c r="N34" i="11"/>
  <c r="O33" i="11"/>
  <c r="N35" i="11" l="1"/>
  <c r="O34" i="11"/>
  <c r="S35" i="11"/>
  <c r="T34" i="11"/>
  <c r="S36" i="11" l="1"/>
  <c r="T35" i="11"/>
  <c r="N36" i="11"/>
  <c r="O35" i="11"/>
  <c r="N37" i="11" l="1"/>
  <c r="O36" i="11"/>
  <c r="S37" i="11"/>
  <c r="T36" i="11"/>
  <c r="S38" i="11" l="1"/>
  <c r="T37" i="11"/>
  <c r="N38" i="11"/>
  <c r="O37" i="11"/>
  <c r="N39" i="11" l="1"/>
  <c r="O38" i="11"/>
  <c r="S39" i="11"/>
  <c r="T38" i="11"/>
  <c r="S40" i="11" l="1"/>
  <c r="T39" i="11"/>
  <c r="N40" i="11"/>
  <c r="O39" i="11"/>
  <c r="N41" i="11" l="1"/>
  <c r="O40" i="11"/>
  <c r="S41" i="11"/>
  <c r="T40" i="11"/>
  <c r="S42" i="11" l="1"/>
  <c r="T41" i="11"/>
  <c r="N42" i="11"/>
  <c r="O41" i="11"/>
  <c r="N43" i="11" l="1"/>
  <c r="O42" i="11"/>
  <c r="S43" i="11"/>
  <c r="T42" i="11"/>
  <c r="S44" i="11" l="1"/>
  <c r="T43" i="11"/>
  <c r="N44" i="11"/>
  <c r="O43" i="11"/>
  <c r="N45" i="11" l="1"/>
  <c r="O44" i="11"/>
  <c r="S45" i="11"/>
  <c r="T44" i="11"/>
  <c r="S46" i="11" l="1"/>
  <c r="T45" i="11"/>
  <c r="N46" i="11"/>
  <c r="O45" i="11"/>
  <c r="N47" i="11" l="1"/>
  <c r="O46" i="11"/>
  <c r="S47" i="11"/>
  <c r="T46" i="11"/>
  <c r="S48" i="11" l="1"/>
  <c r="T47" i="11"/>
  <c r="N48" i="11"/>
  <c r="O47" i="11"/>
  <c r="N49" i="11" l="1"/>
  <c r="O48" i="11"/>
  <c r="S49" i="11"/>
  <c r="T48" i="11"/>
  <c r="S50" i="11" l="1"/>
  <c r="T49" i="11"/>
  <c r="N50" i="11"/>
  <c r="O49" i="11"/>
  <c r="N51" i="11" l="1"/>
  <c r="O50" i="11"/>
  <c r="S51" i="11"/>
  <c r="T50" i="11"/>
  <c r="S52" i="11" l="1"/>
  <c r="T51" i="11"/>
  <c r="N52" i="11"/>
  <c r="O51" i="11"/>
  <c r="N53" i="11" l="1"/>
  <c r="O52" i="11"/>
  <c r="S53" i="11"/>
  <c r="T52" i="11"/>
  <c r="S54" i="11" l="1"/>
  <c r="T53" i="11"/>
  <c r="N54" i="11"/>
  <c r="O53" i="11"/>
  <c r="N55" i="11" l="1"/>
  <c r="O54" i="11"/>
  <c r="S55" i="11"/>
  <c r="T54" i="11"/>
  <c r="S56" i="11" l="1"/>
  <c r="T55" i="11"/>
  <c r="N56" i="11"/>
  <c r="O55" i="11"/>
  <c r="N57" i="11" l="1"/>
  <c r="O56" i="11"/>
  <c r="S57" i="11"/>
  <c r="T56" i="11"/>
  <c r="S58" i="11" l="1"/>
  <c r="T57" i="11"/>
  <c r="N58" i="11"/>
  <c r="O57" i="11"/>
  <c r="N59" i="11" l="1"/>
  <c r="O58" i="11"/>
  <c r="S59" i="11"/>
  <c r="T58" i="11"/>
  <c r="S60" i="11" l="1"/>
  <c r="T59" i="11"/>
  <c r="N60" i="11"/>
  <c r="O59" i="11"/>
  <c r="N61" i="11" l="1"/>
  <c r="O60" i="11"/>
  <c r="S61" i="11"/>
  <c r="T60" i="11"/>
  <c r="S62" i="11" l="1"/>
  <c r="T61" i="11"/>
  <c r="N62" i="11"/>
  <c r="O61" i="11"/>
  <c r="N63" i="11" l="1"/>
  <c r="O62" i="11"/>
  <c r="S63" i="11"/>
  <c r="T62" i="11"/>
  <c r="S64" i="11" l="1"/>
  <c r="T63" i="11"/>
  <c r="N64" i="11"/>
  <c r="O63" i="11"/>
  <c r="N65" i="11" l="1"/>
  <c r="O64" i="11"/>
  <c r="S65" i="11"/>
  <c r="T64" i="11"/>
  <c r="S66" i="11" l="1"/>
  <c r="T65" i="11"/>
  <c r="N66" i="11"/>
  <c r="O65" i="11"/>
  <c r="N67" i="11" l="1"/>
  <c r="O66" i="11"/>
  <c r="S67" i="11"/>
  <c r="T66" i="11"/>
  <c r="S68" i="11" l="1"/>
  <c r="T67" i="11"/>
  <c r="N68" i="11"/>
  <c r="O67" i="11"/>
  <c r="N69" i="11" l="1"/>
  <c r="O68" i="11"/>
  <c r="S69" i="11"/>
  <c r="T68" i="11"/>
  <c r="S70" i="11" l="1"/>
  <c r="T69" i="11"/>
  <c r="N70" i="11"/>
  <c r="O69" i="11"/>
  <c r="N71" i="11" l="1"/>
  <c r="O70" i="11"/>
  <c r="S71" i="11"/>
  <c r="T70" i="11"/>
  <c r="S72" i="11" l="1"/>
  <c r="T71" i="11"/>
  <c r="N72" i="11"/>
  <c r="O71" i="11"/>
  <c r="N73" i="11" l="1"/>
  <c r="O72" i="11"/>
  <c r="S73" i="11"/>
  <c r="T72" i="11"/>
  <c r="S74" i="11" l="1"/>
  <c r="T73" i="11"/>
  <c r="N74" i="11"/>
  <c r="O73" i="11"/>
  <c r="N75" i="11" l="1"/>
  <c r="O74" i="11"/>
  <c r="S75" i="11"/>
  <c r="T74" i="11"/>
  <c r="S76" i="11" l="1"/>
  <c r="T75" i="11"/>
  <c r="N76" i="11"/>
  <c r="O75" i="11"/>
  <c r="N77" i="11" l="1"/>
  <c r="O76" i="11"/>
  <c r="S77" i="11"/>
  <c r="T76" i="11"/>
  <c r="S78" i="11" l="1"/>
  <c r="T77" i="11"/>
  <c r="N78" i="11"/>
  <c r="O77" i="11"/>
  <c r="N79" i="11" l="1"/>
  <c r="O79" i="11" s="1"/>
  <c r="O78" i="11"/>
  <c r="S79" i="11"/>
  <c r="T79" i="11" s="1"/>
  <c r="T78" i="11"/>
  <c r="H8" i="11" a="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" i="11"/>
  <c r="I8" i="11"/>
  <c r="J8" i="11"/>
  <c r="I9" i="11"/>
  <c r="J9" i="11"/>
  <c r="I10" i="11"/>
  <c r="J10" i="11"/>
  <c r="I11" i="11"/>
  <c r="J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J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0" i="11"/>
  <c r="J30" i="11"/>
  <c r="I31" i="11"/>
  <c r="J31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K38" i="11"/>
  <c r="I39" i="11"/>
  <c r="J39" i="11"/>
  <c r="I40" i="11"/>
  <c r="J40" i="11"/>
  <c r="I41" i="11"/>
  <c r="J41" i="11"/>
  <c r="I42" i="11"/>
  <c r="J42" i="11"/>
  <c r="I43" i="11"/>
  <c r="J43" i="11"/>
  <c r="K41" i="11"/>
  <c r="AO56" i="12"/>
  <c r="BY56" i="12" s="1"/>
  <c r="I44" i="11"/>
  <c r="J44" i="11"/>
  <c r="I45" i="11"/>
  <c r="J45" i="11"/>
  <c r="I46" i="11"/>
  <c r="J46" i="11"/>
  <c r="I47" i="11"/>
  <c r="J47" i="11"/>
  <c r="I48" i="11"/>
  <c r="J48" i="11"/>
  <c r="I49" i="11"/>
  <c r="J49" i="11"/>
  <c r="I50" i="11"/>
  <c r="J50" i="11"/>
  <c r="I51" i="11"/>
  <c r="J51" i="11"/>
  <c r="I52" i="11"/>
  <c r="J52" i="11"/>
  <c r="I53" i="11"/>
  <c r="J53" i="11"/>
  <c r="I54" i="11"/>
  <c r="J54" i="11"/>
  <c r="I55" i="11"/>
  <c r="J55" i="11"/>
  <c r="I56" i="11"/>
  <c r="J56" i="11"/>
  <c r="I57" i="11"/>
  <c r="J57" i="11"/>
  <c r="I58" i="11"/>
  <c r="J58" i="11"/>
  <c r="I59" i="11"/>
  <c r="J59" i="11"/>
  <c r="I60" i="11"/>
  <c r="J60" i="11"/>
  <c r="I61" i="11"/>
  <c r="J61" i="11"/>
  <c r="I62" i="11"/>
  <c r="J62" i="11"/>
  <c r="I63" i="11"/>
  <c r="J63" i="11"/>
  <c r="I64" i="11"/>
  <c r="J64" i="11"/>
  <c r="I65" i="11"/>
  <c r="J65" i="11"/>
  <c r="I66" i="11"/>
  <c r="J66" i="11"/>
  <c r="I67" i="11"/>
  <c r="J67" i="11"/>
  <c r="I68" i="11"/>
  <c r="J68" i="11"/>
  <c r="I69" i="11"/>
  <c r="J69" i="11"/>
  <c r="I70" i="11"/>
  <c r="J70" i="11"/>
  <c r="I71" i="11"/>
  <c r="J71" i="11"/>
  <c r="I72" i="11"/>
  <c r="J72" i="11"/>
  <c r="I73" i="11"/>
  <c r="J73" i="11"/>
  <c r="I74" i="11"/>
  <c r="J74" i="11"/>
  <c r="I75" i="11"/>
  <c r="J75" i="11"/>
  <c r="I76" i="11"/>
  <c r="J76" i="11"/>
  <c r="I77" i="11"/>
  <c r="J77" i="11"/>
  <c r="I78" i="11"/>
  <c r="J78" i="11"/>
  <c r="I79" i="11"/>
  <c r="J79" i="11"/>
  <c r="C8" i="11" a="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" i="11"/>
  <c r="D8" i="11"/>
  <c r="E8" i="11"/>
  <c r="D9" i="11"/>
  <c r="E9" i="11"/>
  <c r="D10" i="11"/>
  <c r="E10" i="11"/>
  <c r="D11" i="11"/>
  <c r="E11" i="11"/>
  <c r="D12" i="11"/>
  <c r="E12" i="11"/>
  <c r="D13" i="11"/>
  <c r="E13" i="11"/>
  <c r="D14" i="11"/>
  <c r="E14" i="11"/>
  <c r="D15" i="11"/>
  <c r="E15" i="11"/>
  <c r="D16" i="11"/>
  <c r="E16" i="11"/>
  <c r="D17" i="11"/>
  <c r="E17" i="11"/>
  <c r="D18" i="11"/>
  <c r="E18" i="11"/>
  <c r="D19" i="11"/>
  <c r="E19" i="11"/>
  <c r="D20" i="11"/>
  <c r="E20" i="11"/>
  <c r="D21" i="11"/>
  <c r="E21" i="11"/>
  <c r="D22" i="11"/>
  <c r="E22" i="11"/>
  <c r="D23" i="11"/>
  <c r="E23" i="11"/>
  <c r="D24" i="11"/>
  <c r="E24" i="11"/>
  <c r="D25" i="11"/>
  <c r="E25" i="11"/>
  <c r="D26" i="11"/>
  <c r="E26" i="11"/>
  <c r="D27" i="11"/>
  <c r="E27" i="11"/>
  <c r="D28" i="11"/>
  <c r="E28" i="11"/>
  <c r="D29" i="11"/>
  <c r="E29" i="11"/>
  <c r="D30" i="11"/>
  <c r="E30" i="11"/>
  <c r="D31" i="11"/>
  <c r="E31" i="11"/>
  <c r="D32" i="11"/>
  <c r="E32" i="11"/>
  <c r="D33" i="11"/>
  <c r="E33" i="11"/>
  <c r="D34" i="11"/>
  <c r="E34" i="11"/>
  <c r="D35" i="11"/>
  <c r="E35" i="11"/>
  <c r="D36" i="11"/>
  <c r="E36" i="11"/>
  <c r="D37" i="11"/>
  <c r="E37" i="11"/>
  <c r="D38" i="11"/>
  <c r="E38" i="11"/>
  <c r="F38" i="11"/>
  <c r="D39" i="11"/>
  <c r="E39" i="11"/>
  <c r="D40" i="11"/>
  <c r="E40" i="11"/>
  <c r="D41" i="11"/>
  <c r="E41" i="11"/>
  <c r="D42" i="11"/>
  <c r="E42" i="11"/>
  <c r="D43" i="11"/>
  <c r="E43" i="11"/>
  <c r="AO55" i="12"/>
  <c r="AO54" i="12"/>
  <c r="AO81" i="12" s="1"/>
  <c r="AO83" i="12" s="1"/>
  <c r="AO99" i="12"/>
  <c r="D44" i="11"/>
  <c r="E44" i="11"/>
  <c r="D45" i="11"/>
  <c r="E45" i="11"/>
  <c r="D46" i="11"/>
  <c r="E46" i="11"/>
  <c r="D47" i="11"/>
  <c r="E47" i="11"/>
  <c r="D48" i="11"/>
  <c r="E48" i="11"/>
  <c r="D49" i="11"/>
  <c r="E49" i="11"/>
  <c r="D50" i="11"/>
  <c r="E50" i="11"/>
  <c r="D51" i="11"/>
  <c r="E51" i="11"/>
  <c r="D52" i="11"/>
  <c r="E52" i="11"/>
  <c r="D53" i="11"/>
  <c r="E53" i="11"/>
  <c r="D54" i="11"/>
  <c r="E54" i="11"/>
  <c r="D55" i="11"/>
  <c r="E55" i="11"/>
  <c r="D56" i="11"/>
  <c r="E56" i="11"/>
  <c r="D57" i="11"/>
  <c r="E57" i="11"/>
  <c r="D58" i="11"/>
  <c r="E58" i="11"/>
  <c r="D59" i="11"/>
  <c r="E59" i="11"/>
  <c r="D60" i="11"/>
  <c r="E60" i="11"/>
  <c r="D61" i="11"/>
  <c r="E61" i="11"/>
  <c r="D62" i="11"/>
  <c r="E62" i="11"/>
  <c r="D63" i="11"/>
  <c r="E63" i="11"/>
  <c r="D64" i="11"/>
  <c r="E64" i="11"/>
  <c r="D65" i="11"/>
  <c r="E65" i="11"/>
  <c r="D66" i="11"/>
  <c r="E66" i="11"/>
  <c r="D67" i="11"/>
  <c r="E67" i="11"/>
  <c r="D68" i="11"/>
  <c r="E68" i="11"/>
  <c r="D69" i="11"/>
  <c r="E69" i="11"/>
  <c r="D70" i="11"/>
  <c r="E70" i="11"/>
  <c r="D71" i="11"/>
  <c r="E71" i="11"/>
  <c r="D72" i="11"/>
  <c r="E72" i="11"/>
  <c r="D73" i="11"/>
  <c r="E73" i="11"/>
  <c r="D74" i="11"/>
  <c r="E74" i="11"/>
  <c r="D75" i="11"/>
  <c r="E75" i="11"/>
  <c r="D76" i="11"/>
  <c r="E76" i="11"/>
  <c r="D77" i="11"/>
  <c r="E77" i="11"/>
  <c r="D78" i="11"/>
  <c r="E78" i="11"/>
  <c r="D79" i="11"/>
  <c r="E79" i="11"/>
  <c r="AO56" i="10"/>
  <c r="BY56" i="10" s="1"/>
  <c r="AO55" i="10"/>
  <c r="AO99" i="10"/>
  <c r="AO54" i="10"/>
  <c r="AO81" i="10" s="1"/>
  <c r="AO83" i="10" s="1"/>
  <c r="AJ116" i="9"/>
  <c r="AJ100" i="9"/>
  <c r="AJ55" i="9"/>
  <c r="AJ57" i="8"/>
  <c r="BY57" i="8" s="1"/>
  <c r="AJ56" i="8"/>
  <c r="AJ100" i="8"/>
  <c r="AJ55" i="8"/>
  <c r="R8" i="7" a="1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" i="7"/>
  <c r="S8" i="7"/>
  <c r="T8" i="7"/>
  <c r="S9" i="7"/>
  <c r="T9" i="7"/>
  <c r="S10" i="7"/>
  <c r="T10" i="7"/>
  <c r="S11" i="7"/>
  <c r="T11" i="7"/>
  <c r="S12" i="7"/>
  <c r="T12" i="7"/>
  <c r="S13" i="7"/>
  <c r="T13" i="7"/>
  <c r="S14" i="7"/>
  <c r="T14" i="7"/>
  <c r="S15" i="7"/>
  <c r="T15" i="7"/>
  <c r="S16" i="7"/>
  <c r="T16" i="7"/>
  <c r="S17" i="7"/>
  <c r="T17" i="7"/>
  <c r="S18" i="7"/>
  <c r="T18" i="7"/>
  <c r="S19" i="7"/>
  <c r="T19" i="7"/>
  <c r="S20" i="7"/>
  <c r="T20" i="7"/>
  <c r="S21" i="7"/>
  <c r="T21" i="7"/>
  <c r="S22" i="7"/>
  <c r="T22" i="7"/>
  <c r="S23" i="7"/>
  <c r="T23" i="7"/>
  <c r="S24" i="7"/>
  <c r="T24" i="7"/>
  <c r="S25" i="7"/>
  <c r="T25" i="7"/>
  <c r="S26" i="7"/>
  <c r="T26" i="7"/>
  <c r="S27" i="7"/>
  <c r="T27" i="7"/>
  <c r="S28" i="7"/>
  <c r="T28" i="7"/>
  <c r="S29" i="7"/>
  <c r="T29" i="7"/>
  <c r="S30" i="7"/>
  <c r="T30" i="7"/>
  <c r="S31" i="7"/>
  <c r="T31" i="7"/>
  <c r="S32" i="7"/>
  <c r="T32" i="7"/>
  <c r="S33" i="7"/>
  <c r="T33" i="7"/>
  <c r="S34" i="7"/>
  <c r="T34" i="7"/>
  <c r="S35" i="7"/>
  <c r="T35" i="7"/>
  <c r="S36" i="7"/>
  <c r="T36" i="7"/>
  <c r="S37" i="7"/>
  <c r="T37" i="7"/>
  <c r="S38" i="7"/>
  <c r="T38" i="7"/>
  <c r="S39" i="7"/>
  <c r="T39" i="7"/>
  <c r="S40" i="7"/>
  <c r="T40" i="7"/>
  <c r="S41" i="7"/>
  <c r="T41" i="7"/>
  <c r="S42" i="7"/>
  <c r="T42" i="7"/>
  <c r="S43" i="7"/>
  <c r="T43" i="7"/>
  <c r="S44" i="7"/>
  <c r="T44" i="7"/>
  <c r="S45" i="7"/>
  <c r="T45" i="7"/>
  <c r="S46" i="7"/>
  <c r="T46" i="7"/>
  <c r="S47" i="7"/>
  <c r="T47" i="7"/>
  <c r="S48" i="7"/>
  <c r="T48" i="7"/>
  <c r="S49" i="7"/>
  <c r="T49" i="7"/>
  <c r="S50" i="7"/>
  <c r="T50" i="7"/>
  <c r="S51" i="7"/>
  <c r="T51" i="7"/>
  <c r="S52" i="7"/>
  <c r="T52" i="7"/>
  <c r="S53" i="7"/>
  <c r="T53" i="7"/>
  <c r="S54" i="7"/>
  <c r="T54" i="7"/>
  <c r="S55" i="7"/>
  <c r="T55" i="7"/>
  <c r="S56" i="7"/>
  <c r="T56" i="7"/>
  <c r="S57" i="7"/>
  <c r="T57" i="7"/>
  <c r="S58" i="7"/>
  <c r="T58" i="7"/>
  <c r="S59" i="7"/>
  <c r="T59" i="7"/>
  <c r="S60" i="7"/>
  <c r="T60" i="7"/>
  <c r="S61" i="7"/>
  <c r="T61" i="7"/>
  <c r="S62" i="7"/>
  <c r="T62" i="7"/>
  <c r="S63" i="7"/>
  <c r="T63" i="7"/>
  <c r="S64" i="7"/>
  <c r="T64" i="7"/>
  <c r="S65" i="7"/>
  <c r="T65" i="7"/>
  <c r="S66" i="7"/>
  <c r="T66" i="7"/>
  <c r="S67" i="7"/>
  <c r="T67" i="7"/>
  <c r="S68" i="7"/>
  <c r="T68" i="7"/>
  <c r="S69" i="7"/>
  <c r="T69" i="7"/>
  <c r="S70" i="7"/>
  <c r="T70" i="7"/>
  <c r="S71" i="7"/>
  <c r="T71" i="7"/>
  <c r="S72" i="7"/>
  <c r="T72" i="7"/>
  <c r="S73" i="7"/>
  <c r="T73" i="7"/>
  <c r="S74" i="7"/>
  <c r="T74" i="7"/>
  <c r="S75" i="7"/>
  <c r="T75" i="7"/>
  <c r="S76" i="7"/>
  <c r="T76" i="7"/>
  <c r="S77" i="7"/>
  <c r="T77" i="7"/>
  <c r="S78" i="7"/>
  <c r="T78" i="7"/>
  <c r="S79" i="7"/>
  <c r="T79" i="7"/>
  <c r="M8" i="7" a="1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" i="7"/>
  <c r="N8" i="7"/>
  <c r="O8" i="7"/>
  <c r="N9" i="7"/>
  <c r="O9" i="7"/>
  <c r="N10" i="7"/>
  <c r="O10" i="7"/>
  <c r="N11" i="7"/>
  <c r="O11" i="7"/>
  <c r="N12" i="7"/>
  <c r="O12" i="7"/>
  <c r="N13" i="7"/>
  <c r="O13" i="7"/>
  <c r="N14" i="7"/>
  <c r="O14" i="7"/>
  <c r="N15" i="7"/>
  <c r="O15" i="7"/>
  <c r="N16" i="7"/>
  <c r="O16" i="7"/>
  <c r="N17" i="7"/>
  <c r="O17" i="7"/>
  <c r="N18" i="7"/>
  <c r="O18" i="7"/>
  <c r="N19" i="7"/>
  <c r="O19" i="7"/>
  <c r="N20" i="7"/>
  <c r="O20" i="7"/>
  <c r="N21" i="7"/>
  <c r="O21" i="7"/>
  <c r="N22" i="7"/>
  <c r="O22" i="7"/>
  <c r="N23" i="7"/>
  <c r="O23" i="7"/>
  <c r="N24" i="7"/>
  <c r="O24" i="7"/>
  <c r="N25" i="7"/>
  <c r="O25" i="7"/>
  <c r="N26" i="7"/>
  <c r="O26" i="7"/>
  <c r="N27" i="7"/>
  <c r="O27" i="7"/>
  <c r="N28" i="7"/>
  <c r="O28" i="7"/>
  <c r="N29" i="7"/>
  <c r="O29" i="7"/>
  <c r="N30" i="7"/>
  <c r="O30" i="7"/>
  <c r="N31" i="7"/>
  <c r="O31" i="7"/>
  <c r="N32" i="7"/>
  <c r="O32" i="7"/>
  <c r="N33" i="7"/>
  <c r="O33" i="7"/>
  <c r="N34" i="7"/>
  <c r="O34" i="7"/>
  <c r="N35" i="7"/>
  <c r="O35" i="7"/>
  <c r="N36" i="7"/>
  <c r="O36" i="7"/>
  <c r="N37" i="7"/>
  <c r="O37" i="7"/>
  <c r="N38" i="7"/>
  <c r="O38" i="7"/>
  <c r="N39" i="7"/>
  <c r="O39" i="7"/>
  <c r="N40" i="7"/>
  <c r="O40" i="7"/>
  <c r="N41" i="7"/>
  <c r="O41" i="7"/>
  <c r="N42" i="7"/>
  <c r="O42" i="7"/>
  <c r="N43" i="7"/>
  <c r="O43" i="7"/>
  <c r="N44" i="7"/>
  <c r="O44" i="7"/>
  <c r="N45" i="7"/>
  <c r="O45" i="7"/>
  <c r="N46" i="7"/>
  <c r="O46" i="7"/>
  <c r="N47" i="7"/>
  <c r="O47" i="7"/>
  <c r="N48" i="7"/>
  <c r="O48" i="7"/>
  <c r="N49" i="7"/>
  <c r="O49" i="7"/>
  <c r="N50" i="7"/>
  <c r="O50" i="7"/>
  <c r="N51" i="7"/>
  <c r="O51" i="7"/>
  <c r="N52" i="7"/>
  <c r="O52" i="7"/>
  <c r="N53" i="7"/>
  <c r="O53" i="7"/>
  <c r="N54" i="7"/>
  <c r="O54" i="7"/>
  <c r="N55" i="7"/>
  <c r="O55" i="7"/>
  <c r="N56" i="7"/>
  <c r="O56" i="7"/>
  <c r="N57" i="7"/>
  <c r="O57" i="7"/>
  <c r="N58" i="7"/>
  <c r="O58" i="7"/>
  <c r="N59" i="7"/>
  <c r="O59" i="7"/>
  <c r="N60" i="7"/>
  <c r="O60" i="7"/>
  <c r="N61" i="7"/>
  <c r="O61" i="7"/>
  <c r="N62" i="7"/>
  <c r="O62" i="7"/>
  <c r="N63" i="7"/>
  <c r="O63" i="7"/>
  <c r="N64" i="7"/>
  <c r="O64" i="7"/>
  <c r="N65" i="7"/>
  <c r="O65" i="7"/>
  <c r="N66" i="7"/>
  <c r="O66" i="7"/>
  <c r="N67" i="7"/>
  <c r="O67" i="7"/>
  <c r="N68" i="7"/>
  <c r="O68" i="7"/>
  <c r="N69" i="7"/>
  <c r="O69" i="7"/>
  <c r="N70" i="7"/>
  <c r="O70" i="7"/>
  <c r="N71" i="7"/>
  <c r="O71" i="7"/>
  <c r="N72" i="7"/>
  <c r="O72" i="7"/>
  <c r="N73" i="7"/>
  <c r="O73" i="7"/>
  <c r="N74" i="7"/>
  <c r="O74" i="7"/>
  <c r="N75" i="7"/>
  <c r="O75" i="7"/>
  <c r="N76" i="7"/>
  <c r="O76" i="7"/>
  <c r="N77" i="7"/>
  <c r="O77" i="7"/>
  <c r="N78" i="7"/>
  <c r="O78" i="7"/>
  <c r="N79" i="7"/>
  <c r="O79" i="7"/>
  <c r="H8" i="7" a="1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" i="7"/>
  <c r="I8" i="7"/>
  <c r="J8" i="7"/>
  <c r="I9" i="7"/>
  <c r="J9" i="7"/>
  <c r="I10" i="7"/>
  <c r="J10" i="7"/>
  <c r="I11" i="7"/>
  <c r="J11" i="7"/>
  <c r="I12" i="7"/>
  <c r="J12" i="7"/>
  <c r="I13" i="7"/>
  <c r="J13" i="7"/>
  <c r="I14" i="7"/>
  <c r="J14" i="7"/>
  <c r="I15" i="7"/>
  <c r="J15" i="7"/>
  <c r="I16" i="7"/>
  <c r="J16" i="7"/>
  <c r="I17" i="7"/>
  <c r="J17" i="7"/>
  <c r="I18" i="7"/>
  <c r="J18" i="7"/>
  <c r="I19" i="7"/>
  <c r="J19" i="7"/>
  <c r="I20" i="7"/>
  <c r="J20" i="7"/>
  <c r="I21" i="7"/>
  <c r="J21" i="7"/>
  <c r="I22" i="7"/>
  <c r="J22" i="7"/>
  <c r="I23" i="7"/>
  <c r="J23" i="7"/>
  <c r="I24" i="7"/>
  <c r="J24" i="7"/>
  <c r="I25" i="7"/>
  <c r="J25" i="7"/>
  <c r="I26" i="7"/>
  <c r="J26" i="7"/>
  <c r="I27" i="7"/>
  <c r="J27" i="7"/>
  <c r="I28" i="7"/>
  <c r="J28" i="7"/>
  <c r="I29" i="7"/>
  <c r="J29" i="7"/>
  <c r="I30" i="7"/>
  <c r="J30" i="7"/>
  <c r="I31" i="7"/>
  <c r="J31" i="7"/>
  <c r="I32" i="7"/>
  <c r="J32" i="7"/>
  <c r="I33" i="7"/>
  <c r="J33" i="7"/>
  <c r="I34" i="7"/>
  <c r="J34" i="7"/>
  <c r="I35" i="7"/>
  <c r="J35" i="7"/>
  <c r="I36" i="7"/>
  <c r="J36" i="7"/>
  <c r="I37" i="7"/>
  <c r="J37" i="7"/>
  <c r="I38" i="7"/>
  <c r="J38" i="7"/>
  <c r="K38" i="7"/>
  <c r="I39" i="7"/>
  <c r="J39" i="7"/>
  <c r="I40" i="7"/>
  <c r="J40" i="7"/>
  <c r="I41" i="7"/>
  <c r="J41" i="7"/>
  <c r="I42" i="7"/>
  <c r="J42" i="7"/>
  <c r="I43" i="7"/>
  <c r="J43" i="7"/>
  <c r="I44" i="7"/>
  <c r="J44" i="7"/>
  <c r="I45" i="7"/>
  <c r="J45" i="7"/>
  <c r="I46" i="7"/>
  <c r="J46" i="7"/>
  <c r="I47" i="7"/>
  <c r="J47" i="7"/>
  <c r="I48" i="7"/>
  <c r="J48" i="7"/>
  <c r="I49" i="7"/>
  <c r="J49" i="7"/>
  <c r="I50" i="7"/>
  <c r="J50" i="7"/>
  <c r="I51" i="7"/>
  <c r="J51" i="7"/>
  <c r="I52" i="7"/>
  <c r="J52" i="7"/>
  <c r="I53" i="7"/>
  <c r="J53" i="7"/>
  <c r="I54" i="7"/>
  <c r="J54" i="7"/>
  <c r="I55" i="7"/>
  <c r="J55" i="7"/>
  <c r="I56" i="7"/>
  <c r="J56" i="7"/>
  <c r="I57" i="7"/>
  <c r="J57" i="7"/>
  <c r="I58" i="7"/>
  <c r="J58" i="7"/>
  <c r="I59" i="7"/>
  <c r="J59" i="7"/>
  <c r="I60" i="7"/>
  <c r="J60" i="7"/>
  <c r="I61" i="7"/>
  <c r="J61" i="7"/>
  <c r="I62" i="7"/>
  <c r="J62" i="7"/>
  <c r="I63" i="7"/>
  <c r="J63" i="7"/>
  <c r="I64" i="7"/>
  <c r="J64" i="7"/>
  <c r="I65" i="7"/>
  <c r="J65" i="7"/>
  <c r="I66" i="7"/>
  <c r="J66" i="7"/>
  <c r="I67" i="7"/>
  <c r="J67" i="7"/>
  <c r="I68" i="7"/>
  <c r="J68" i="7"/>
  <c r="I69" i="7"/>
  <c r="J69" i="7"/>
  <c r="I70" i="7"/>
  <c r="J70" i="7"/>
  <c r="I71" i="7"/>
  <c r="J71" i="7"/>
  <c r="I72" i="7"/>
  <c r="J72" i="7"/>
  <c r="I73" i="7"/>
  <c r="J73" i="7"/>
  <c r="I74" i="7"/>
  <c r="J74" i="7"/>
  <c r="I75" i="7"/>
  <c r="J75" i="7"/>
  <c r="I76" i="7"/>
  <c r="J76" i="7"/>
  <c r="I77" i="7"/>
  <c r="J77" i="7"/>
  <c r="I78" i="7"/>
  <c r="J78" i="7"/>
  <c r="I79" i="7"/>
  <c r="J79" i="7"/>
  <c r="C8" i="7" a="1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" i="7"/>
  <c r="D8" i="7"/>
  <c r="E8" i="7"/>
  <c r="D9" i="7"/>
  <c r="E9" i="7"/>
  <c r="D10" i="7"/>
  <c r="E10" i="7"/>
  <c r="D11" i="7"/>
  <c r="E11" i="7"/>
  <c r="D12" i="7"/>
  <c r="E12" i="7"/>
  <c r="D13" i="7"/>
  <c r="E13" i="7"/>
  <c r="D14" i="7"/>
  <c r="E14" i="7"/>
  <c r="D15" i="7"/>
  <c r="E15" i="7"/>
  <c r="D16" i="7"/>
  <c r="E16" i="7"/>
  <c r="D17" i="7"/>
  <c r="E17" i="7"/>
  <c r="D18" i="7"/>
  <c r="E18" i="7"/>
  <c r="D19" i="7"/>
  <c r="E19" i="7"/>
  <c r="D20" i="7"/>
  <c r="E20" i="7"/>
  <c r="D21" i="7"/>
  <c r="E21" i="7"/>
  <c r="D22" i="7"/>
  <c r="E22" i="7"/>
  <c r="D23" i="7"/>
  <c r="E23" i="7"/>
  <c r="D24" i="7"/>
  <c r="E24" i="7"/>
  <c r="D25" i="7"/>
  <c r="E25" i="7"/>
  <c r="D26" i="7"/>
  <c r="E26" i="7"/>
  <c r="D27" i="7"/>
  <c r="E27" i="7"/>
  <c r="D28" i="7"/>
  <c r="E28" i="7"/>
  <c r="D29" i="7"/>
  <c r="E29" i="7"/>
  <c r="D30" i="7"/>
  <c r="E30" i="7"/>
  <c r="D31" i="7"/>
  <c r="E31" i="7"/>
  <c r="D32" i="7"/>
  <c r="E32" i="7"/>
  <c r="D33" i="7"/>
  <c r="E33" i="7"/>
  <c r="D34" i="7"/>
  <c r="E34" i="7"/>
  <c r="D35" i="7"/>
  <c r="E35" i="7"/>
  <c r="D36" i="7"/>
  <c r="E36" i="7"/>
  <c r="D37" i="7"/>
  <c r="E37" i="7"/>
  <c r="D38" i="7"/>
  <c r="E38" i="7"/>
  <c r="F38" i="7"/>
  <c r="D39" i="7"/>
  <c r="E39" i="7"/>
  <c r="D40" i="7"/>
  <c r="E40" i="7"/>
  <c r="D41" i="7"/>
  <c r="E41" i="7"/>
  <c r="D42" i="7"/>
  <c r="E42" i="7"/>
  <c r="D43" i="7"/>
  <c r="E43" i="7"/>
  <c r="D44" i="7"/>
  <c r="E44" i="7"/>
  <c r="D45" i="7"/>
  <c r="E45" i="7"/>
  <c r="D46" i="7"/>
  <c r="E46" i="7"/>
  <c r="D47" i="7"/>
  <c r="E47" i="7"/>
  <c r="D48" i="7"/>
  <c r="E48" i="7"/>
  <c r="D49" i="7"/>
  <c r="E49" i="7"/>
  <c r="D50" i="7"/>
  <c r="E50" i="7"/>
  <c r="D51" i="7"/>
  <c r="E51" i="7"/>
  <c r="D52" i="7"/>
  <c r="E52" i="7"/>
  <c r="D53" i="7"/>
  <c r="E53" i="7"/>
  <c r="D54" i="7"/>
  <c r="E54" i="7"/>
  <c r="D55" i="7"/>
  <c r="E55" i="7"/>
  <c r="D56" i="7"/>
  <c r="E56" i="7"/>
  <c r="D57" i="7"/>
  <c r="E57" i="7"/>
  <c r="D58" i="7"/>
  <c r="E58" i="7"/>
  <c r="D59" i="7"/>
  <c r="E59" i="7"/>
  <c r="D60" i="7"/>
  <c r="E60" i="7"/>
  <c r="D61" i="7"/>
  <c r="E61" i="7"/>
  <c r="D62" i="7"/>
  <c r="E62" i="7"/>
  <c r="D63" i="7"/>
  <c r="E63" i="7"/>
  <c r="D64" i="7"/>
  <c r="E64" i="7"/>
  <c r="D65" i="7"/>
  <c r="E65" i="7"/>
  <c r="D66" i="7"/>
  <c r="E66" i="7"/>
  <c r="D67" i="7"/>
  <c r="E67" i="7"/>
  <c r="D68" i="7"/>
  <c r="E68" i="7"/>
  <c r="D69" i="7"/>
  <c r="E69" i="7"/>
  <c r="D70" i="7"/>
  <c r="E70" i="7"/>
  <c r="D71" i="7"/>
  <c r="E71" i="7"/>
  <c r="D72" i="7"/>
  <c r="E72" i="7"/>
  <c r="D73" i="7"/>
  <c r="E73" i="7"/>
  <c r="D74" i="7"/>
  <c r="E74" i="7"/>
  <c r="D75" i="7"/>
  <c r="E75" i="7"/>
  <c r="D76" i="7"/>
  <c r="E76" i="7"/>
  <c r="D77" i="7"/>
  <c r="E77" i="7"/>
  <c r="D78" i="7"/>
  <c r="E78" i="7"/>
  <c r="D79" i="7"/>
  <c r="E79" i="7"/>
  <c r="AI56" i="6"/>
  <c r="AI115" i="6" s="1"/>
  <c r="BY56" i="6"/>
  <c r="AI55" i="6"/>
  <c r="AI54" i="6" s="1"/>
  <c r="BY56" i="8"/>
  <c r="BY55" i="10"/>
  <c r="BY55" i="12"/>
  <c r="AJ82" i="8"/>
  <c r="AJ82" i="9"/>
  <c r="AJ84" i="9"/>
  <c r="BY54" i="12" l="1"/>
  <c r="BY54" i="10"/>
  <c r="BY55" i="8"/>
  <c r="AI14" i="15"/>
  <c r="AI99" i="6"/>
  <c r="AJ116" i="8"/>
  <c r="BY55" i="6"/>
  <c r="BY54" i="6" s="1"/>
  <c r="AO115" i="10"/>
  <c r="AO115" i="12"/>
  <c r="AM56" i="9"/>
  <c r="AM57" i="9"/>
  <c r="AM116" i="9" s="1"/>
  <c r="AL100" i="9"/>
  <c r="AL104" i="9" s="1"/>
  <c r="AK100" i="9"/>
  <c r="AK104" i="9" s="1"/>
  <c r="BY56" i="9"/>
  <c r="AK116" i="9"/>
  <c r="AK119" i="9" s="1"/>
  <c r="AK55" i="9"/>
  <c r="AK82" i="9" s="1"/>
  <c r="BY57" i="9"/>
  <c r="BY55" i="9" s="1"/>
  <c r="AI37" i="15" l="1"/>
  <c r="AI39" i="15" s="1"/>
  <c r="AJ39" i="15" s="1"/>
  <c r="AK39" i="15" s="1"/>
  <c r="AL39" i="15" s="1"/>
  <c r="AM39" i="15" s="1"/>
  <c r="AN39" i="15" s="1"/>
  <c r="AO39" i="15" s="1"/>
  <c r="AP39" i="15" s="1"/>
  <c r="AQ39" i="15" s="1"/>
  <c r="AR39" i="15" s="1"/>
  <c r="AS39" i="15" s="1"/>
  <c r="AT39" i="15" s="1"/>
  <c r="AU39" i="15" s="1"/>
  <c r="AV39" i="15" s="1"/>
  <c r="AW39" i="15" s="1"/>
  <c r="AX39" i="15" s="1"/>
  <c r="AY39" i="15" s="1"/>
  <c r="AZ39" i="15" s="1"/>
  <c r="BA39" i="15" s="1"/>
  <c r="BB39" i="15" s="1"/>
  <c r="BC39" i="15" s="1"/>
  <c r="BD39" i="15" s="1"/>
  <c r="BE39" i="15" s="1"/>
  <c r="BF39" i="15" s="1"/>
  <c r="BG39" i="15" s="1"/>
  <c r="BH39" i="15" s="1"/>
  <c r="BI39" i="15" s="1"/>
  <c r="BJ39" i="15" s="1"/>
  <c r="BK39" i="15" s="1"/>
  <c r="BL39" i="15" s="1"/>
  <c r="BM39" i="15" s="1"/>
  <c r="BN39" i="15" s="1"/>
  <c r="BO39" i="15" s="1"/>
  <c r="BP39" i="15" s="1"/>
  <c r="BQ39" i="15" s="1"/>
  <c r="BR39" i="15" s="1"/>
  <c r="BS39" i="15" s="1"/>
  <c r="BT39" i="15" s="1"/>
  <c r="BU39" i="15" s="1"/>
  <c r="BV39" i="15" s="1"/>
  <c r="BW39" i="15" s="1"/>
  <c r="BX39" i="15" s="1"/>
  <c r="BY39" i="15" s="1"/>
  <c r="BZ39" i="15" s="1"/>
  <c r="CA39" i="15" s="1"/>
  <c r="CB39" i="15" s="1"/>
  <c r="CC39" i="15" s="1"/>
  <c r="CD39" i="15" s="1"/>
  <c r="CE39" i="15" s="1"/>
  <c r="CF39" i="15" s="1"/>
  <c r="CG39" i="15" s="1"/>
  <c r="CH39" i="15" s="1"/>
  <c r="CI39" i="15" s="1"/>
  <c r="CJ39" i="15" s="1"/>
  <c r="CK14" i="15"/>
  <c r="CL14" i="15" s="1"/>
  <c r="AM100" i="9"/>
  <c r="AM55" i="9"/>
  <c r="AM82" i="9" s="1"/>
  <c r="AM84" i="9" s="1"/>
  <c r="AL116" i="9"/>
  <c r="AL119" i="9" s="1"/>
  <c r="AL55" i="9"/>
  <c r="AL82" i="9" s="1"/>
  <c r="AL84" i="9" s="1"/>
  <c r="AK84" i="9"/>
  <c r="AB45" i="8"/>
  <c r="AB39" i="8" s="1"/>
  <c r="AA45" i="8"/>
  <c r="AA39" i="8" s="1"/>
  <c r="X45" i="8"/>
  <c r="X39" i="8" s="1"/>
  <c r="W45" i="8"/>
  <c r="W39" i="8" s="1"/>
  <c r="X39" i="9"/>
  <c r="X82" i="9" s="1"/>
  <c r="X14" i="9"/>
  <c r="X17" i="9" s="1"/>
  <c r="X84" i="9" s="1"/>
  <c r="Z45" i="8"/>
  <c r="Z39" i="8"/>
  <c r="Z82" i="8" s="1"/>
  <c r="Y45" i="8"/>
  <c r="Y39" i="8" s="1"/>
  <c r="Z39" i="9"/>
  <c r="Z14" i="9" s="1"/>
  <c r="Z82" i="9"/>
  <c r="AH44" i="10"/>
  <c r="AH38" i="10" s="1"/>
  <c r="AG44" i="10"/>
  <c r="AG38" i="10" s="1"/>
  <c r="AF44" i="10"/>
  <c r="AF38" i="10" s="1"/>
  <c r="AE44" i="10"/>
  <c r="AE38" i="10"/>
  <c r="AE81" i="10" s="1"/>
  <c r="AD44" i="10"/>
  <c r="AD38" i="10"/>
  <c r="AD81" i="10" s="1"/>
  <c r="AD14" i="10"/>
  <c r="AF15" i="10" s="1"/>
  <c r="AC44" i="10"/>
  <c r="AC38" i="10" s="1"/>
  <c r="AB44" i="10"/>
  <c r="AB38" i="10" s="1"/>
  <c r="AA44" i="10"/>
  <c r="AA38" i="10"/>
  <c r="AA81" i="10" s="1"/>
  <c r="AA14" i="10"/>
  <c r="AC15" i="10" s="1"/>
  <c r="Z44" i="10"/>
  <c r="Z38" i="10" s="1"/>
  <c r="Y44" i="10"/>
  <c r="Y38" i="10" s="1"/>
  <c r="X44" i="10"/>
  <c r="X38" i="10"/>
  <c r="X81" i="10" s="1"/>
  <c r="W44" i="10"/>
  <c r="W38" i="10"/>
  <c r="W81" i="10" s="1"/>
  <c r="V44" i="10"/>
  <c r="V38" i="10"/>
  <c r="V81" i="10" s="1"/>
  <c r="V14" i="10"/>
  <c r="X15" i="10" s="1"/>
  <c r="U44" i="10"/>
  <c r="U38" i="10" s="1"/>
  <c r="T44" i="10"/>
  <c r="T38" i="10" s="1"/>
  <c r="AH44" i="12"/>
  <c r="AH38" i="12" s="1"/>
  <c r="AG44" i="12"/>
  <c r="AG38" i="12" s="1"/>
  <c r="AF44" i="12"/>
  <c r="AF38" i="12"/>
  <c r="AF81" i="12" s="1"/>
  <c r="AF14" i="12"/>
  <c r="AH15" i="12" s="1"/>
  <c r="AE44" i="12"/>
  <c r="AE38" i="12" s="1"/>
  <c r="AD44" i="12"/>
  <c r="AD38" i="12" s="1"/>
  <c r="AC44" i="12"/>
  <c r="AC38" i="12"/>
  <c r="AC81" i="12" s="1"/>
  <c r="AB44" i="12"/>
  <c r="AB38" i="12"/>
  <c r="AB81" i="12" s="1"/>
  <c r="AA44" i="12"/>
  <c r="AA38" i="12" s="1"/>
  <c r="Z44" i="12"/>
  <c r="Z38" i="12" s="1"/>
  <c r="Y44" i="12"/>
  <c r="Y38" i="12" s="1"/>
  <c r="X44" i="12"/>
  <c r="X38" i="12"/>
  <c r="X81" i="12" s="1"/>
  <c r="X14" i="12"/>
  <c r="Z15" i="12" s="1"/>
  <c r="W44" i="12"/>
  <c r="W38" i="12" s="1"/>
  <c r="V44" i="12"/>
  <c r="V38" i="12" s="1"/>
  <c r="U44" i="12"/>
  <c r="U38" i="12"/>
  <c r="U81" i="12" s="1"/>
  <c r="AH44" i="6"/>
  <c r="AH38" i="6" s="1"/>
  <c r="AH14" i="6" s="1"/>
  <c r="AF45" i="8"/>
  <c r="AF39" i="8"/>
  <c r="AF82" i="8" s="1"/>
  <c r="AF14" i="8"/>
  <c r="AH15" i="8" s="1"/>
  <c r="AE45" i="8"/>
  <c r="AE39" i="8" s="1"/>
  <c r="AD45" i="8"/>
  <c r="AD39" i="8" s="1"/>
  <c r="AC45" i="8"/>
  <c r="AC39" i="8" s="1"/>
  <c r="AC14" i="8" s="1"/>
  <c r="V45" i="8"/>
  <c r="V39" i="8" s="1"/>
  <c r="S44" i="10"/>
  <c r="S38" i="10" s="1"/>
  <c r="S14" i="10" s="1"/>
  <c r="T44" i="12"/>
  <c r="T38" i="12"/>
  <c r="T14" i="12" s="1"/>
  <c r="AG44" i="6"/>
  <c r="AG38" i="6"/>
  <c r="AG11" i="6"/>
  <c r="AF44" i="6"/>
  <c r="AF38" i="6" s="1"/>
  <c r="AF11" i="6" s="1"/>
  <c r="AE44" i="6"/>
  <c r="AE38" i="6"/>
  <c r="AE11" i="6" s="1"/>
  <c r="AD44" i="6"/>
  <c r="AD38" i="6"/>
  <c r="AD11" i="6" s="1"/>
  <c r="AB44" i="6"/>
  <c r="AB38" i="6"/>
  <c r="AB14" i="6"/>
  <c r="AD15" i="6" s="1"/>
  <c r="AA44" i="6"/>
  <c r="AA38" i="6" s="1"/>
  <c r="AA14" i="6" s="1"/>
  <c r="AC15" i="6" s="1"/>
  <c r="Z44" i="6"/>
  <c r="Z38" i="6" s="1"/>
  <c r="Z14" i="6" s="1"/>
  <c r="AB15" i="6" s="1"/>
  <c r="AB17" i="6" s="1"/>
  <c r="Y44" i="6"/>
  <c r="Y38" i="6"/>
  <c r="Y14" i="6"/>
  <c r="AA15" i="6" s="1"/>
  <c r="X44" i="6"/>
  <c r="X38" i="6"/>
  <c r="X14" i="6"/>
  <c r="Z15" i="6" s="1"/>
  <c r="W44" i="6"/>
  <c r="W38" i="6" s="1"/>
  <c r="W14" i="6" s="1"/>
  <c r="Y15" i="6" s="1"/>
  <c r="Y17" i="6" s="1"/>
  <c r="V44" i="6"/>
  <c r="V38" i="6"/>
  <c r="V14" i="6" s="1"/>
  <c r="X15" i="6" s="1"/>
  <c r="X17" i="6" s="1"/>
  <c r="U44" i="6"/>
  <c r="U38" i="6"/>
  <c r="U14" i="6" s="1"/>
  <c r="W15" i="6" s="1"/>
  <c r="T44" i="6"/>
  <c r="T38" i="6"/>
  <c r="T14" i="6"/>
  <c r="V15" i="6" s="1"/>
  <c r="S44" i="6"/>
  <c r="S38" i="6" s="1"/>
  <c r="S14" i="6" s="1"/>
  <c r="U15" i="6" s="1"/>
  <c r="U17" i="6" s="1"/>
  <c r="R44" i="6"/>
  <c r="R38" i="6" s="1"/>
  <c r="R14" i="6" s="1"/>
  <c r="T15" i="6" s="1"/>
  <c r="T17" i="6" s="1"/>
  <c r="Q44" i="6"/>
  <c r="Q38" i="6"/>
  <c r="Q14" i="6"/>
  <c r="S15" i="6" s="1"/>
  <c r="P44" i="6"/>
  <c r="P38" i="6"/>
  <c r="P14" i="6"/>
  <c r="R15" i="6" s="1"/>
  <c r="AI44" i="12"/>
  <c r="AI38" i="12"/>
  <c r="AI14" i="12"/>
  <c r="AJ44" i="12"/>
  <c r="AJ38" i="12"/>
  <c r="AJ81" i="12" s="1"/>
  <c r="AJ14" i="12"/>
  <c r="AL15" i="12" s="1"/>
  <c r="AM44" i="12"/>
  <c r="AM38" i="12"/>
  <c r="AM81" i="12" s="1"/>
  <c r="AM14" i="12"/>
  <c r="AL44" i="12"/>
  <c r="AL38" i="12"/>
  <c r="AL81" i="12" s="1"/>
  <c r="AL14" i="12"/>
  <c r="AN15" i="12" s="1"/>
  <c r="AK44" i="12"/>
  <c r="AK38" i="12"/>
  <c r="AK81" i="12" s="1"/>
  <c r="AI44" i="10"/>
  <c r="AI38" i="10"/>
  <c r="AI14" i="10" s="1"/>
  <c r="AJ44" i="10"/>
  <c r="AJ38" i="10"/>
  <c r="AJ81" i="10" s="1"/>
  <c r="AJ14" i="10"/>
  <c r="AL15" i="10" s="1"/>
  <c r="AM44" i="10"/>
  <c r="AM38" i="10"/>
  <c r="AM81" i="10" s="1"/>
  <c r="AL44" i="10"/>
  <c r="AL38" i="10"/>
  <c r="AL81" i="10" s="1"/>
  <c r="AL14" i="10"/>
  <c r="AN15" i="10" s="1"/>
  <c r="AL17" i="10"/>
  <c r="AL83" i="10" s="1"/>
  <c r="AK44" i="10"/>
  <c r="AK38" i="10"/>
  <c r="AK81" i="10" s="1"/>
  <c r="AG45" i="8"/>
  <c r="AG39" i="8"/>
  <c r="AG82" i="8" s="1"/>
  <c r="AG14" i="8"/>
  <c r="AI15" i="8"/>
  <c r="AI17" i="8" s="1"/>
  <c r="AI84" i="8" s="1"/>
  <c r="O44" i="6"/>
  <c r="O38" i="6" s="1"/>
  <c r="O14" i="6" s="1"/>
  <c r="AC44" i="6"/>
  <c r="AC38" i="6"/>
  <c r="AC11" i="6"/>
  <c r="C69" i="2"/>
  <c r="D86" i="2"/>
  <c r="F76" i="2"/>
  <c r="AC50" i="9"/>
  <c r="BY50" i="9" s="1"/>
  <c r="BY49" i="9" s="1"/>
  <c r="AC49" i="9"/>
  <c r="AC82" i="9"/>
  <c r="AC84" i="9"/>
  <c r="AH45" i="8"/>
  <c r="AH39" i="8" s="1"/>
  <c r="AN44" i="10"/>
  <c r="AN38" i="10"/>
  <c r="AN81" i="10" s="1"/>
  <c r="AN14" i="10"/>
  <c r="AN17" i="10" s="1"/>
  <c r="AN83" i="10" s="1"/>
  <c r="AN44" i="12"/>
  <c r="AN38" i="12" s="1"/>
  <c r="W39" i="9"/>
  <c r="BY45" i="9"/>
  <c r="BY39" i="9" s="1"/>
  <c r="BZ18" i="9" s="1"/>
  <c r="BY74" i="9" s="1"/>
  <c r="BY83" i="9" s="1"/>
  <c r="AI44" i="6"/>
  <c r="AI38" i="6"/>
  <c r="AI14" i="6" s="1"/>
  <c r="Y81" i="12" l="1"/>
  <c r="Y14" i="12"/>
  <c r="AA15" i="12" s="1"/>
  <c r="AE81" i="12"/>
  <c r="AE14" i="12"/>
  <c r="AG15" i="12" s="1"/>
  <c r="Z81" i="10"/>
  <c r="Z14" i="10"/>
  <c r="AB15" i="10" s="1"/>
  <c r="Y82" i="8"/>
  <c r="Y14" i="8"/>
  <c r="AB82" i="8"/>
  <c r="AB14" i="8"/>
  <c r="AD15" i="8" s="1"/>
  <c r="Z81" i="12"/>
  <c r="Z14" i="12"/>
  <c r="AB15" i="12" s="1"/>
  <c r="AE15" i="8"/>
  <c r="AA81" i="12"/>
  <c r="AA14" i="12"/>
  <c r="AC15" i="12" s="1"/>
  <c r="AH82" i="8"/>
  <c r="AH14" i="8"/>
  <c r="V81" i="12"/>
  <c r="V14" i="12"/>
  <c r="X15" i="12" s="1"/>
  <c r="X17" i="12" s="1"/>
  <c r="X83" i="12" s="1"/>
  <c r="AN81" i="12"/>
  <c r="AN14" i="12"/>
  <c r="AN17" i="12" s="1"/>
  <c r="AN83" i="12" s="1"/>
  <c r="AE82" i="8"/>
  <c r="AE14" i="8"/>
  <c r="AG15" i="8" s="1"/>
  <c r="W81" i="12"/>
  <c r="W14" i="12"/>
  <c r="Y15" i="12" s="1"/>
  <c r="Y17" i="12" s="1"/>
  <c r="Y83" i="12" s="1"/>
  <c r="AG81" i="12"/>
  <c r="AG14" i="12"/>
  <c r="AI15" i="12" s="1"/>
  <c r="AI17" i="12" s="1"/>
  <c r="AB81" i="10"/>
  <c r="AB14" i="10"/>
  <c r="AD15" i="10" s="1"/>
  <c r="AD17" i="10" s="1"/>
  <c r="AD83" i="10" s="1"/>
  <c r="AH81" i="12"/>
  <c r="AH14" i="12"/>
  <c r="AJ15" i="12" s="1"/>
  <c r="AC81" i="10"/>
  <c r="AC14" i="10"/>
  <c r="AE15" i="10" s="1"/>
  <c r="AH81" i="10"/>
  <c r="AH14" i="10"/>
  <c r="AJ15" i="10" s="1"/>
  <c r="AJ17" i="10" s="1"/>
  <c r="AJ83" i="10" s="1"/>
  <c r="W82" i="8"/>
  <c r="W14" i="8"/>
  <c r="V82" i="8"/>
  <c r="V83" i="8" s="1"/>
  <c r="W83" i="8" s="1"/>
  <c r="V14" i="8"/>
  <c r="AD82" i="8"/>
  <c r="AD14" i="8"/>
  <c r="AF81" i="10"/>
  <c r="AF14" i="10"/>
  <c r="AH15" i="10" s="1"/>
  <c r="AH17" i="10" s="1"/>
  <c r="AH83" i="10" s="1"/>
  <c r="AG81" i="10"/>
  <c r="AG14" i="10"/>
  <c r="AI15" i="10" s="1"/>
  <c r="AI17" i="10" s="1"/>
  <c r="W17" i="6"/>
  <c r="X82" i="8"/>
  <c r="X14" i="8"/>
  <c r="Z15" i="8" s="1"/>
  <c r="T81" i="10"/>
  <c r="T14" i="10"/>
  <c r="AD81" i="12"/>
  <c r="AD14" i="12"/>
  <c r="AF15" i="12" s="1"/>
  <c r="AF17" i="12" s="1"/>
  <c r="AF83" i="12" s="1"/>
  <c r="U81" i="10"/>
  <c r="U14" i="10"/>
  <c r="W15" i="10" s="1"/>
  <c r="Y81" i="10"/>
  <c r="Y14" i="10"/>
  <c r="AA15" i="10" s="1"/>
  <c r="AA17" i="10" s="1"/>
  <c r="AA83" i="10" s="1"/>
  <c r="AA82" i="8"/>
  <c r="AA14" i="8"/>
  <c r="AC15" i="8" s="1"/>
  <c r="AC17" i="8" s="1"/>
  <c r="Z17" i="6"/>
  <c r="AK14" i="12"/>
  <c r="AM15" i="12" s="1"/>
  <c r="AM17" i="12" s="1"/>
  <c r="AM83" i="12" s="1"/>
  <c r="S17" i="6"/>
  <c r="R17" i="6"/>
  <c r="V17" i="6"/>
  <c r="AK14" i="10"/>
  <c r="AM15" i="10" s="1"/>
  <c r="AM14" i="10"/>
  <c r="AL17" i="12"/>
  <c r="AL83" i="12" s="1"/>
  <c r="AJ17" i="12"/>
  <c r="AJ83" i="12" s="1"/>
  <c r="P17" i="6"/>
  <c r="U14" i="12"/>
  <c r="AC14" i="12"/>
  <c r="AE15" i="12" s="1"/>
  <c r="AE17" i="12" s="1"/>
  <c r="AE83" i="12" s="1"/>
  <c r="X14" i="10"/>
  <c r="Z15" i="10" s="1"/>
  <c r="Z17" i="10" s="1"/>
  <c r="AH17" i="12"/>
  <c r="AC17" i="10"/>
  <c r="AC83" i="10" s="1"/>
  <c r="Z14" i="8"/>
  <c r="X17" i="10"/>
  <c r="X83" i="10" s="1"/>
  <c r="AA17" i="6"/>
  <c r="AB14" i="12"/>
  <c r="AD15" i="12" s="1"/>
  <c r="W14" i="10"/>
  <c r="Y15" i="10" s="1"/>
  <c r="Y17" i="10" s="1"/>
  <c r="Y83" i="10" s="1"/>
  <c r="AE14" i="10"/>
  <c r="AG15" i="10" s="1"/>
  <c r="AG17" i="10" s="1"/>
  <c r="AG83" i="10" s="1"/>
  <c r="W82" i="9"/>
  <c r="W83" i="9" s="1"/>
  <c r="X83" i="9" s="1"/>
  <c r="Y83" i="9" s="1"/>
  <c r="Z83" i="9" s="1"/>
  <c r="AA83" i="9" s="1"/>
  <c r="AB83" i="9" s="1"/>
  <c r="AC83" i="9" s="1"/>
  <c r="AD83" i="9" s="1"/>
  <c r="AE83" i="9" s="1"/>
  <c r="AF83" i="9" s="1"/>
  <c r="AG83" i="9" s="1"/>
  <c r="AH83" i="9" s="1"/>
  <c r="AI83" i="9" s="1"/>
  <c r="AJ83" i="9" s="1"/>
  <c r="AK83" i="9" s="1"/>
  <c r="AL83" i="9" s="1"/>
  <c r="AM83" i="9" s="1"/>
  <c r="AN83" i="9" s="1"/>
  <c r="AO83" i="9" s="1"/>
  <c r="AP83" i="9" s="1"/>
  <c r="AQ83" i="9" s="1"/>
  <c r="AR83" i="9" s="1"/>
  <c r="AS83" i="9" s="1"/>
  <c r="AT83" i="9" s="1"/>
  <c r="AU83" i="9" s="1"/>
  <c r="AV83" i="9" s="1"/>
  <c r="AW83" i="9" s="1"/>
  <c r="AX83" i="9" s="1"/>
  <c r="AY83" i="9" s="1"/>
  <c r="AZ83" i="9" s="1"/>
  <c r="BA83" i="9" s="1"/>
  <c r="BB83" i="9" s="1"/>
  <c r="BC83" i="9" s="1"/>
  <c r="BD83" i="9" s="1"/>
  <c r="BE83" i="9" s="1"/>
  <c r="BF83" i="9" s="1"/>
  <c r="BG83" i="9" s="1"/>
  <c r="BH83" i="9" s="1"/>
  <c r="BI83" i="9" s="1"/>
  <c r="BJ83" i="9" s="1"/>
  <c r="BK83" i="9" s="1"/>
  <c r="BL83" i="9" s="1"/>
  <c r="BM83" i="9" s="1"/>
  <c r="BN83" i="9" s="1"/>
  <c r="BO83" i="9" s="1"/>
  <c r="BP83" i="9" s="1"/>
  <c r="BQ83" i="9" s="1"/>
  <c r="BR83" i="9" s="1"/>
  <c r="BS83" i="9" s="1"/>
  <c r="BT83" i="9" s="1"/>
  <c r="BU83" i="9" s="1"/>
  <c r="BV83" i="9" s="1"/>
  <c r="BW83" i="9" s="1"/>
  <c r="BX83" i="9" s="1"/>
  <c r="W14" i="9"/>
  <c r="AI49" i="12"/>
  <c r="AI49" i="10"/>
  <c r="AC50" i="8"/>
  <c r="Y49" i="6"/>
  <c r="F77" i="2"/>
  <c r="F78" i="2"/>
  <c r="D87" i="2" s="1"/>
  <c r="D88" i="2"/>
  <c r="AH11" i="6" s="1"/>
  <c r="R20" i="2"/>
  <c r="R30" i="2"/>
  <c r="R32" i="2" s="1"/>
  <c r="F70" i="2"/>
  <c r="Q68" i="2"/>
  <c r="Q69" i="2"/>
  <c r="Q70" i="2"/>
  <c r="Q71" i="2"/>
  <c r="R72" i="2"/>
  <c r="Q72" i="2"/>
  <c r="AC51" i="6"/>
  <c r="AD51" i="6" s="1"/>
  <c r="AE51" i="6" s="1"/>
  <c r="AF51" i="6" s="1"/>
  <c r="AC14" i="6"/>
  <c r="Q15" i="6"/>
  <c r="O17" i="6"/>
  <c r="CA18" i="6"/>
  <c r="BY44" i="6"/>
  <c r="BY38" i="6" s="1"/>
  <c r="AG17" i="8"/>
  <c r="AG84" i="8" s="1"/>
  <c r="BY14" i="8"/>
  <c r="AK15" i="10"/>
  <c r="AK17" i="10" s="1"/>
  <c r="AK83" i="10" s="1"/>
  <c r="AK15" i="12"/>
  <c r="AD14" i="6"/>
  <c r="AE14" i="6"/>
  <c r="AF14" i="6"/>
  <c r="AG14" i="6"/>
  <c r="V15" i="12"/>
  <c r="T17" i="12"/>
  <c r="T81" i="12"/>
  <c r="T82" i="12" s="1"/>
  <c r="U82" i="12" s="1"/>
  <c r="V82" i="12" s="1"/>
  <c r="W82" i="12" s="1"/>
  <c r="X82" i="12" s="1"/>
  <c r="Y82" i="12" s="1"/>
  <c r="Z82" i="12" s="1"/>
  <c r="AA82" i="12" s="1"/>
  <c r="AB82" i="12" s="1"/>
  <c r="AC82" i="12" s="1"/>
  <c r="AD82" i="12" s="1"/>
  <c r="AE82" i="12" s="1"/>
  <c r="AF82" i="12" s="1"/>
  <c r="AG82" i="12" s="1"/>
  <c r="AH82" i="12" s="1"/>
  <c r="CA18" i="12"/>
  <c r="BY44" i="12"/>
  <c r="BY38" i="12" s="1"/>
  <c r="U15" i="10"/>
  <c r="S17" i="10"/>
  <c r="S81" i="10"/>
  <c r="S82" i="10" s="1"/>
  <c r="T82" i="10" s="1"/>
  <c r="U82" i="10" s="1"/>
  <c r="V82" i="10" s="1"/>
  <c r="W82" i="10" s="1"/>
  <c r="X82" i="10" s="1"/>
  <c r="Y82" i="10" s="1"/>
  <c r="CA18" i="10"/>
  <c r="BY44" i="10"/>
  <c r="BY38" i="10" s="1"/>
  <c r="V17" i="8"/>
  <c r="V84" i="8" s="1"/>
  <c r="V85" i="8" s="1"/>
  <c r="X15" i="8"/>
  <c r="BY45" i="8"/>
  <c r="BY39" i="8" s="1"/>
  <c r="Z17" i="9"/>
  <c r="Z84" i="9" s="1"/>
  <c r="X17" i="8"/>
  <c r="X84" i="8" s="1"/>
  <c r="AM17" i="10" l="1"/>
  <c r="AM83" i="10" s="1"/>
  <c r="X83" i="8"/>
  <c r="Y83" i="8" s="1"/>
  <c r="Z83" i="8" s="1"/>
  <c r="AA83" i="8" s="1"/>
  <c r="AB83" i="8" s="1"/>
  <c r="AE17" i="8"/>
  <c r="AE84" i="8" s="1"/>
  <c r="AB17" i="12"/>
  <c r="AB83" i="12" s="1"/>
  <c r="AB15" i="8"/>
  <c r="AB17" i="8" s="1"/>
  <c r="AB84" i="8" s="1"/>
  <c r="Z17" i="8"/>
  <c r="Z84" i="8" s="1"/>
  <c r="CD59" i="12" a="1"/>
  <c r="CD59" i="12" s="1"/>
  <c r="BY14" i="12"/>
  <c r="CD14" i="12" s="1"/>
  <c r="CD58" i="12" s="1"/>
  <c r="W17" i="10"/>
  <c r="W83" i="10" s="1"/>
  <c r="AC17" i="12"/>
  <c r="AC83" i="12" s="1"/>
  <c r="AA15" i="8"/>
  <c r="AA17" i="8" s="1"/>
  <c r="AA84" i="8" s="1"/>
  <c r="Z82" i="10"/>
  <c r="AA82" i="10" s="1"/>
  <c r="AB82" i="10" s="1"/>
  <c r="AC82" i="10" s="1"/>
  <c r="AD82" i="10" s="1"/>
  <c r="AE82" i="10" s="1"/>
  <c r="AF82" i="10" s="1"/>
  <c r="AG82" i="10" s="1"/>
  <c r="AH82" i="10" s="1"/>
  <c r="CD14" i="8"/>
  <c r="CD59" i="8" s="1"/>
  <c r="AF17" i="10"/>
  <c r="AF83" i="10" s="1"/>
  <c r="W15" i="12"/>
  <c r="W17" i="12" s="1"/>
  <c r="W83" i="12" s="1"/>
  <c r="U17" i="12"/>
  <c r="U83" i="12" s="1"/>
  <c r="Y15" i="8"/>
  <c r="W17" i="8"/>
  <c r="W84" i="8" s="1"/>
  <c r="W85" i="8" s="1"/>
  <c r="BY14" i="10"/>
  <c r="CD14" i="10" s="1"/>
  <c r="CD58" i="10" s="1"/>
  <c r="AB17" i="10"/>
  <c r="AB83" i="10" s="1"/>
  <c r="V15" i="10"/>
  <c r="V17" i="10" s="1"/>
  <c r="V83" i="10" s="1"/>
  <c r="T17" i="10"/>
  <c r="T83" i="10" s="1"/>
  <c r="AG17" i="12"/>
  <c r="AG83" i="12" s="1"/>
  <c r="CD59" i="10" a="1"/>
  <c r="CD59" i="10" s="1"/>
  <c r="AH83" i="12"/>
  <c r="AF15" i="8"/>
  <c r="AF17" i="8" s="1"/>
  <c r="AF84" i="8" s="1"/>
  <c r="AD17" i="8"/>
  <c r="AD84" i="8" s="1"/>
  <c r="AE17" i="10"/>
  <c r="AE83" i="10" s="1"/>
  <c r="X85" i="8"/>
  <c r="Z17" i="12"/>
  <c r="Z83" i="12" s="1"/>
  <c r="AH17" i="8"/>
  <c r="AH84" i="8" s="1"/>
  <c r="AJ15" i="8"/>
  <c r="AJ17" i="8" s="1"/>
  <c r="AJ84" i="8" s="1"/>
  <c r="AA17" i="12"/>
  <c r="AA83" i="12" s="1"/>
  <c r="CD60" i="8" a="1"/>
  <c r="CD60" i="8" s="1"/>
  <c r="AK17" i="12"/>
  <c r="AK83" i="12" s="1"/>
  <c r="AD17" i="12"/>
  <c r="AD83" i="12" s="1"/>
  <c r="Z83" i="10"/>
  <c r="BY15" i="9"/>
  <c r="AB17" i="9"/>
  <c r="AB84" i="9" s="1"/>
  <c r="S83" i="10"/>
  <c r="S84" i="10" s="1"/>
  <c r="U17" i="10"/>
  <c r="U83" i="10" s="1"/>
  <c r="T83" i="12"/>
  <c r="T84" i="12" s="1"/>
  <c r="U84" i="12" s="1"/>
  <c r="V17" i="12"/>
  <c r="V83" i="12" s="1"/>
  <c r="V84" i="12" s="1"/>
  <c r="W84" i="12" s="1"/>
  <c r="X84" i="12" s="1"/>
  <c r="Y84" i="12" s="1"/>
  <c r="Z84" i="12" s="1"/>
  <c r="AA84" i="12" s="1"/>
  <c r="AB84" i="12" s="1"/>
  <c r="AC84" i="12" s="1"/>
  <c r="AD84" i="12" s="1"/>
  <c r="AE84" i="12" s="1"/>
  <c r="AF84" i="12" s="1"/>
  <c r="AG84" i="12" s="1"/>
  <c r="AH84" i="12" s="1"/>
  <c r="AI15" i="6"/>
  <c r="AI17" i="6" s="1"/>
  <c r="AH15" i="6"/>
  <c r="AH17" i="6" s="1"/>
  <c r="AG15" i="6"/>
  <c r="AG17" i="6" s="1"/>
  <c r="AF15" i="6"/>
  <c r="AF17" i="6" s="1"/>
  <c r="AD17" i="6"/>
  <c r="CD59" i="6" a="1"/>
  <c r="CD59" i="6" s="1"/>
  <c r="Q17" i="6"/>
  <c r="AE15" i="6"/>
  <c r="BY14" i="6"/>
  <c r="AC17" i="6"/>
  <c r="CD51" i="6"/>
  <c r="BY51" i="6"/>
  <c r="R22" i="2"/>
  <c r="BY11" i="6"/>
  <c r="P50" i="6"/>
  <c r="P48" i="6" s="1"/>
  <c r="P81" i="6" s="1"/>
  <c r="P83" i="6" s="1"/>
  <c r="Q50" i="6"/>
  <c r="Q48" i="6" s="1"/>
  <c r="Q81" i="6" s="1"/>
  <c r="R50" i="6"/>
  <c r="R48" i="6" s="1"/>
  <c r="R81" i="6" s="1"/>
  <c r="R83" i="6" s="1"/>
  <c r="S50" i="6"/>
  <c r="S48" i="6" s="1"/>
  <c r="S81" i="6" s="1"/>
  <c r="S83" i="6" s="1"/>
  <c r="T50" i="6"/>
  <c r="T48" i="6" s="1"/>
  <c r="T81" i="6" s="1"/>
  <c r="T83" i="6" s="1"/>
  <c r="U50" i="6"/>
  <c r="U48" i="6" s="1"/>
  <c r="U81" i="6" s="1"/>
  <c r="U83" i="6" s="1"/>
  <c r="V50" i="6"/>
  <c r="V48" i="6" s="1"/>
  <c r="V81" i="6" s="1"/>
  <c r="V83" i="6" s="1"/>
  <c r="W50" i="6"/>
  <c r="W48" i="6" s="1"/>
  <c r="W81" i="6" s="1"/>
  <c r="W83" i="6" s="1"/>
  <c r="X50" i="6"/>
  <c r="X48" i="6" s="1"/>
  <c r="X81" i="6" s="1"/>
  <c r="X83" i="6" s="1"/>
  <c r="Z50" i="6"/>
  <c r="Z48" i="6" s="1"/>
  <c r="Z81" i="6" s="1"/>
  <c r="Z83" i="6" s="1"/>
  <c r="AA50" i="6"/>
  <c r="AA48" i="6" s="1"/>
  <c r="AA81" i="6" s="1"/>
  <c r="AA83" i="6" s="1"/>
  <c r="AB50" i="6"/>
  <c r="AB48" i="6" s="1"/>
  <c r="AB81" i="6" s="1"/>
  <c r="AB83" i="6" s="1"/>
  <c r="AC50" i="6"/>
  <c r="AC48" i="6" s="1"/>
  <c r="AC81" i="6" s="1"/>
  <c r="AG50" i="6"/>
  <c r="AG48" i="6" s="1"/>
  <c r="AG81" i="6" s="1"/>
  <c r="AH50" i="6"/>
  <c r="AH48" i="6" s="1"/>
  <c r="AH81" i="6" s="1"/>
  <c r="AI50" i="6"/>
  <c r="AI48" i="6" s="1"/>
  <c r="AF50" i="6"/>
  <c r="AF48" i="6" s="1"/>
  <c r="AF81" i="6" s="1"/>
  <c r="AE50" i="6"/>
  <c r="AE48" i="6" s="1"/>
  <c r="AE81" i="6" s="1"/>
  <c r="AD50" i="6"/>
  <c r="AD48" i="6" s="1"/>
  <c r="AD81" i="6" s="1"/>
  <c r="Y50" i="6"/>
  <c r="O50" i="6"/>
  <c r="F75" i="2"/>
  <c r="C81" i="2"/>
  <c r="C93" i="2" s="1"/>
  <c r="Y48" i="6"/>
  <c r="Y81" i="6" s="1"/>
  <c r="Y83" i="6" s="1"/>
  <c r="BY49" i="6"/>
  <c r="AC49" i="8"/>
  <c r="AC82" i="8" s="1"/>
  <c r="BY50" i="8"/>
  <c r="BY49" i="8" s="1"/>
  <c r="BZ18" i="8" s="1"/>
  <c r="BY74" i="8" s="1"/>
  <c r="BY83" i="8" s="1"/>
  <c r="AI48" i="10"/>
  <c r="AI81" i="10" s="1"/>
  <c r="BY49" i="10"/>
  <c r="BY48" i="10" s="1"/>
  <c r="BZ18" i="10" s="1"/>
  <c r="BY73" i="10" s="1"/>
  <c r="BY82" i="10" s="1"/>
  <c r="AI48" i="12"/>
  <c r="AI81" i="12" s="1"/>
  <c r="BY49" i="12"/>
  <c r="BY48" i="12" s="1"/>
  <c r="BZ18" i="12" s="1"/>
  <c r="BY73" i="12" s="1"/>
  <c r="BY82" i="12" s="1"/>
  <c r="W17" i="9"/>
  <c r="W84" i="9" s="1"/>
  <c r="W85" i="9" s="1"/>
  <c r="X85" i="9" s="1"/>
  <c r="Y85" i="9" s="1"/>
  <c r="Z85" i="9" s="1"/>
  <c r="AA85" i="9" s="1"/>
  <c r="BY14" i="9"/>
  <c r="N19" i="2" l="1"/>
  <c r="M35" i="2"/>
  <c r="BY15" i="8"/>
  <c r="BZ12" i="8" s="1"/>
  <c r="Y17" i="8"/>
  <c r="Y84" i="8" s="1"/>
  <c r="BY15" i="12"/>
  <c r="BZ12" i="12" s="1"/>
  <c r="Y85" i="8"/>
  <c r="Z85" i="8" s="1"/>
  <c r="AA85" i="8" s="1"/>
  <c r="AB85" i="8" s="1"/>
  <c r="BY15" i="10"/>
  <c r="BZ12" i="10" s="1"/>
  <c r="BY17" i="10" s="1"/>
  <c r="BY83" i="10" s="1"/>
  <c r="T84" i="10"/>
  <c r="U84" i="10" s="1"/>
  <c r="V84" i="10" s="1"/>
  <c r="W84" i="10" s="1"/>
  <c r="X84" i="10" s="1"/>
  <c r="Y84" i="10" s="1"/>
  <c r="Z84" i="10" s="1"/>
  <c r="AA84" i="10" s="1"/>
  <c r="AB84" i="10" s="1"/>
  <c r="AC84" i="10" s="1"/>
  <c r="AD84" i="10" s="1"/>
  <c r="AE84" i="10" s="1"/>
  <c r="AF84" i="10" s="1"/>
  <c r="AG84" i="10" s="1"/>
  <c r="AH84" i="10" s="1"/>
  <c r="BZ12" i="9"/>
  <c r="AI83" i="12"/>
  <c r="AI84" i="12" s="1"/>
  <c r="AI82" i="12"/>
  <c r="AJ82" i="12" s="1"/>
  <c r="AK82" i="12" s="1"/>
  <c r="AL82" i="12" s="1"/>
  <c r="AM82" i="12" s="1"/>
  <c r="AN82" i="12" s="1"/>
  <c r="AO82" i="12" s="1"/>
  <c r="AP82" i="12" s="1"/>
  <c r="AQ82" i="12" s="1"/>
  <c r="AR82" i="12" s="1"/>
  <c r="AS82" i="12" s="1"/>
  <c r="AT82" i="12" s="1"/>
  <c r="AU82" i="12" s="1"/>
  <c r="AV82" i="12" s="1"/>
  <c r="AW82" i="12" s="1"/>
  <c r="AX82" i="12" s="1"/>
  <c r="AY82" i="12" s="1"/>
  <c r="AZ82" i="12" s="1"/>
  <c r="BA82" i="12" s="1"/>
  <c r="BB82" i="12" s="1"/>
  <c r="BC82" i="12" s="1"/>
  <c r="BD82" i="12" s="1"/>
  <c r="BE82" i="12" s="1"/>
  <c r="BF82" i="12" s="1"/>
  <c r="BG82" i="12" s="1"/>
  <c r="BH82" i="12" s="1"/>
  <c r="BI82" i="12" s="1"/>
  <c r="BJ82" i="12" s="1"/>
  <c r="BK82" i="12" s="1"/>
  <c r="BL82" i="12" s="1"/>
  <c r="BM82" i="12" s="1"/>
  <c r="BN82" i="12" s="1"/>
  <c r="BO82" i="12" s="1"/>
  <c r="BP82" i="12" s="1"/>
  <c r="BQ82" i="12" s="1"/>
  <c r="BR82" i="12" s="1"/>
  <c r="BS82" i="12" s="1"/>
  <c r="BT82" i="12" s="1"/>
  <c r="BU82" i="12" s="1"/>
  <c r="BV82" i="12" s="1"/>
  <c r="BW82" i="12" s="1"/>
  <c r="BX82" i="12" s="1"/>
  <c r="AI83" i="10"/>
  <c r="AI82" i="10"/>
  <c r="AJ82" i="10" s="1"/>
  <c r="AK82" i="10" s="1"/>
  <c r="AL82" i="10" s="1"/>
  <c r="AM82" i="10" s="1"/>
  <c r="AN82" i="10" s="1"/>
  <c r="AO82" i="10" s="1"/>
  <c r="AP82" i="10" s="1"/>
  <c r="AQ82" i="10" s="1"/>
  <c r="AR82" i="10" s="1"/>
  <c r="AS82" i="10" s="1"/>
  <c r="AT82" i="10" s="1"/>
  <c r="AU82" i="10" s="1"/>
  <c r="AV82" i="10" s="1"/>
  <c r="AW82" i="10" s="1"/>
  <c r="AX82" i="10" s="1"/>
  <c r="AY82" i="10" s="1"/>
  <c r="AZ82" i="10" s="1"/>
  <c r="BA82" i="10" s="1"/>
  <c r="BB82" i="10" s="1"/>
  <c r="BC82" i="10" s="1"/>
  <c r="BD82" i="10" s="1"/>
  <c r="BE82" i="10" s="1"/>
  <c r="BF82" i="10" s="1"/>
  <c r="BG82" i="10" s="1"/>
  <c r="BH82" i="10" s="1"/>
  <c r="BI82" i="10" s="1"/>
  <c r="BJ82" i="10" s="1"/>
  <c r="BK82" i="10" s="1"/>
  <c r="BL82" i="10" s="1"/>
  <c r="BM82" i="10" s="1"/>
  <c r="BN82" i="10" s="1"/>
  <c r="BO82" i="10" s="1"/>
  <c r="BP82" i="10" s="1"/>
  <c r="BQ82" i="10" s="1"/>
  <c r="BR82" i="10" s="1"/>
  <c r="BS82" i="10" s="1"/>
  <c r="BT82" i="10" s="1"/>
  <c r="BU82" i="10" s="1"/>
  <c r="BV82" i="10" s="1"/>
  <c r="BW82" i="10" s="1"/>
  <c r="BX82" i="10" s="1"/>
  <c r="AC84" i="8"/>
  <c r="AC83" i="8"/>
  <c r="AD83" i="8" s="1"/>
  <c r="AE83" i="8" s="1"/>
  <c r="AF83" i="8" s="1"/>
  <c r="AG83" i="8" s="1"/>
  <c r="AH83" i="8" s="1"/>
  <c r="AI83" i="8" s="1"/>
  <c r="AJ83" i="8" s="1"/>
  <c r="AK83" i="8" s="1"/>
  <c r="AL83" i="8" s="1"/>
  <c r="AM83" i="8" s="1"/>
  <c r="AN83" i="8" s="1"/>
  <c r="AO83" i="8" s="1"/>
  <c r="AP83" i="8" s="1"/>
  <c r="AQ83" i="8" s="1"/>
  <c r="AR83" i="8" s="1"/>
  <c r="AS83" i="8" s="1"/>
  <c r="AT83" i="8" s="1"/>
  <c r="AU83" i="8" s="1"/>
  <c r="AV83" i="8" s="1"/>
  <c r="AW83" i="8" s="1"/>
  <c r="AX83" i="8" s="1"/>
  <c r="AY83" i="8" s="1"/>
  <c r="AZ83" i="8" s="1"/>
  <c r="BA83" i="8" s="1"/>
  <c r="BB83" i="8" s="1"/>
  <c r="BC83" i="8" s="1"/>
  <c r="BD83" i="8" s="1"/>
  <c r="BE83" i="8" s="1"/>
  <c r="BF83" i="8" s="1"/>
  <c r="BG83" i="8" s="1"/>
  <c r="BH83" i="8" s="1"/>
  <c r="BI83" i="8" s="1"/>
  <c r="BJ83" i="8" s="1"/>
  <c r="BK83" i="8" s="1"/>
  <c r="BL83" i="8" s="1"/>
  <c r="BM83" i="8" s="1"/>
  <c r="BN83" i="8" s="1"/>
  <c r="BO83" i="8" s="1"/>
  <c r="BP83" i="8" s="1"/>
  <c r="BQ83" i="8" s="1"/>
  <c r="BR83" i="8" s="1"/>
  <c r="BS83" i="8" s="1"/>
  <c r="BT83" i="8" s="1"/>
  <c r="BU83" i="8" s="1"/>
  <c r="BV83" i="8" s="1"/>
  <c r="BW83" i="8" s="1"/>
  <c r="BX83" i="8" s="1"/>
  <c r="F82" i="2"/>
  <c r="R62" i="2"/>
  <c r="Q62" i="2" s="1"/>
  <c r="Q59" i="2"/>
  <c r="Q60" i="2"/>
  <c r="Q61" i="2"/>
  <c r="R33" i="2"/>
  <c r="R23" i="2"/>
  <c r="O48" i="6"/>
  <c r="O81" i="6" s="1"/>
  <c r="BY50" i="6"/>
  <c r="BY48" i="6" s="1"/>
  <c r="BZ18" i="6" s="1"/>
  <c r="BY73" i="6" s="1"/>
  <c r="AI80" i="6"/>
  <c r="BZ9" i="6"/>
  <c r="AH83" i="6"/>
  <c r="AC83" i="6"/>
  <c r="CD14" i="6"/>
  <c r="CD58" i="6" s="1"/>
  <c r="AE17" i="6"/>
  <c r="AE83" i="6" s="1"/>
  <c r="BY15" i="6"/>
  <c r="BZ12" i="6" s="1"/>
  <c r="Q83" i="6"/>
  <c r="BY17" i="8"/>
  <c r="BY84" i="8" s="1"/>
  <c r="CD12" i="8"/>
  <c r="CD12" i="10"/>
  <c r="AD83" i="6"/>
  <c r="AF83" i="6"/>
  <c r="AG83" i="6"/>
  <c r="AB85" i="9"/>
  <c r="AC85" i="9" s="1"/>
  <c r="AD85" i="9" s="1"/>
  <c r="AE85" i="9" s="1"/>
  <c r="AF85" i="9" s="1"/>
  <c r="AG85" i="9" s="1"/>
  <c r="AH85" i="9" s="1"/>
  <c r="AI85" i="9" s="1"/>
  <c r="BY17" i="12" l="1"/>
  <c r="BY83" i="12" s="1"/>
  <c r="CD12" i="12"/>
  <c r="AC85" i="8"/>
  <c r="AD85" i="8" s="1"/>
  <c r="AE85" i="8" s="1"/>
  <c r="AF85" i="8" s="1"/>
  <c r="AG85" i="8" s="1"/>
  <c r="AH85" i="8" s="1"/>
  <c r="AI85" i="8" s="1"/>
  <c r="AI84" i="10"/>
  <c r="BY85" i="10" s="1"/>
  <c r="AJ85" i="9"/>
  <c r="CE12" i="12"/>
  <c r="CD17" i="12" s="1"/>
  <c r="CD60" i="12" s="1"/>
  <c r="CD56" i="12"/>
  <c r="CE12" i="10"/>
  <c r="CD17" i="10" s="1"/>
  <c r="CD60" i="10" s="1"/>
  <c r="CD56" i="10"/>
  <c r="CE12" i="8"/>
  <c r="CD17" i="8" s="1"/>
  <c r="CD61" i="8" s="1"/>
  <c r="CD57" i="8"/>
  <c r="CA9" i="6"/>
  <c r="CA11" i="6" s="1"/>
  <c r="BY17" i="6"/>
  <c r="BY80" i="6"/>
  <c r="BZ74" i="6" s="1"/>
  <c r="BY81" i="6" s="1"/>
  <c r="BY82" i="6" s="1"/>
  <c r="AI73" i="6"/>
  <c r="AI81" i="6" s="1"/>
  <c r="AI83" i="6" s="1"/>
  <c r="O82" i="6"/>
  <c r="P82" i="6" s="1"/>
  <c r="Q82" i="6" s="1"/>
  <c r="R82" i="6" s="1"/>
  <c r="S82" i="6" s="1"/>
  <c r="T82" i="6" s="1"/>
  <c r="U82" i="6" s="1"/>
  <c r="V82" i="6" s="1"/>
  <c r="W82" i="6" s="1"/>
  <c r="X82" i="6" s="1"/>
  <c r="Y82" i="6" s="1"/>
  <c r="Z82" i="6" s="1"/>
  <c r="AA82" i="6" s="1"/>
  <c r="AB82" i="6" s="1"/>
  <c r="AC82" i="6" s="1"/>
  <c r="AD82" i="6" s="1"/>
  <c r="AE82" i="6" s="1"/>
  <c r="AF82" i="6" s="1"/>
  <c r="AG82" i="6" s="1"/>
  <c r="AH82" i="6" s="1"/>
  <c r="AI82" i="6" s="1"/>
  <c r="AJ82" i="6" s="1"/>
  <c r="AK82" i="6" s="1"/>
  <c r="AL82" i="6" s="1"/>
  <c r="AM82" i="6" s="1"/>
  <c r="AN82" i="6" s="1"/>
  <c r="AO82" i="6" s="1"/>
  <c r="AP82" i="6" s="1"/>
  <c r="AQ82" i="6" s="1"/>
  <c r="AR82" i="6" s="1"/>
  <c r="AS82" i="6" s="1"/>
  <c r="AT82" i="6" s="1"/>
  <c r="AU82" i="6" s="1"/>
  <c r="AV82" i="6" s="1"/>
  <c r="AW82" i="6" s="1"/>
  <c r="AX82" i="6" s="1"/>
  <c r="AY82" i="6" s="1"/>
  <c r="AZ82" i="6" s="1"/>
  <c r="BA82" i="6" s="1"/>
  <c r="BB82" i="6" s="1"/>
  <c r="BC82" i="6" s="1"/>
  <c r="BD82" i="6" s="1"/>
  <c r="BE82" i="6" s="1"/>
  <c r="BF82" i="6" s="1"/>
  <c r="BG82" i="6" s="1"/>
  <c r="BH82" i="6" s="1"/>
  <c r="BI82" i="6" s="1"/>
  <c r="BJ82" i="6" s="1"/>
  <c r="BK82" i="6" s="1"/>
  <c r="BL82" i="6" s="1"/>
  <c r="BM82" i="6" s="1"/>
  <c r="BN82" i="6" s="1"/>
  <c r="BO82" i="6" s="1"/>
  <c r="BP82" i="6" s="1"/>
  <c r="BQ82" i="6" s="1"/>
  <c r="BR82" i="6" s="1"/>
  <c r="BS82" i="6" s="1"/>
  <c r="BT82" i="6" s="1"/>
  <c r="BU82" i="6" s="1"/>
  <c r="BV82" i="6" s="1"/>
  <c r="BW82" i="6" s="1"/>
  <c r="BX82" i="6" s="1"/>
  <c r="O83" i="6"/>
  <c r="O84" i="6" s="1"/>
  <c r="P84" i="6" s="1"/>
  <c r="Q84" i="6" s="1"/>
  <c r="R84" i="6" s="1"/>
  <c r="S84" i="6" s="1"/>
  <c r="T84" i="6" s="1"/>
  <c r="U84" i="6" s="1"/>
  <c r="V84" i="6" s="1"/>
  <c r="W84" i="6" s="1"/>
  <c r="X84" i="6" s="1"/>
  <c r="Y84" i="6" s="1"/>
  <c r="Z84" i="6" s="1"/>
  <c r="AA84" i="6" s="1"/>
  <c r="AB84" i="6" s="1"/>
  <c r="AC84" i="6" s="1"/>
  <c r="AD84" i="6" s="1"/>
  <c r="AE84" i="6" s="1"/>
  <c r="AF84" i="6" s="1"/>
  <c r="AG84" i="6" s="1"/>
  <c r="AH84" i="6" s="1"/>
  <c r="N20" i="2"/>
  <c r="R53" i="2"/>
  <c r="Q53" i="2" s="1"/>
  <c r="Q49" i="2"/>
  <c r="Q50" i="2"/>
  <c r="Q51" i="2"/>
  <c r="Q52" i="2"/>
  <c r="N22" i="2"/>
  <c r="D89" i="2"/>
  <c r="D90" i="2"/>
  <c r="C95" i="2"/>
  <c r="BY86" i="8"/>
  <c r="BZ87" i="8"/>
  <c r="AJ85" i="8"/>
  <c r="BZ86" i="10"/>
  <c r="AJ84" i="10"/>
  <c r="AK84" i="10" s="1"/>
  <c r="AL84" i="10" s="1"/>
  <c r="AM84" i="10" s="1"/>
  <c r="AN84" i="10" s="1"/>
  <c r="AO84" i="10" s="1"/>
  <c r="BY85" i="12"/>
  <c r="BZ86" i="12"/>
  <c r="AJ84" i="12"/>
  <c r="AK84" i="12" s="1"/>
  <c r="AL84" i="12" s="1"/>
  <c r="AM84" i="12" s="1"/>
  <c r="AN84" i="12" s="1"/>
  <c r="AO84" i="12" s="1"/>
  <c r="BY17" i="9"/>
  <c r="BY84" i="9" s="1"/>
  <c r="CD9" i="6" l="1"/>
  <c r="AO100" i="12"/>
  <c r="AO117" i="12"/>
  <c r="AP84" i="12"/>
  <c r="AQ84" i="12" s="1"/>
  <c r="AR84" i="12" s="1"/>
  <c r="AS84" i="12" s="1"/>
  <c r="AT84" i="12" s="1"/>
  <c r="AU84" i="12" s="1"/>
  <c r="AV84" i="12" s="1"/>
  <c r="AW84" i="12" s="1"/>
  <c r="AX84" i="12" s="1"/>
  <c r="AY84" i="12" s="1"/>
  <c r="AZ84" i="12" s="1"/>
  <c r="BA84" i="12" s="1"/>
  <c r="BB84" i="12" s="1"/>
  <c r="BC84" i="12" s="1"/>
  <c r="BD84" i="12" s="1"/>
  <c r="BE84" i="12" s="1"/>
  <c r="BF84" i="12" s="1"/>
  <c r="BG84" i="12" s="1"/>
  <c r="BH84" i="12" s="1"/>
  <c r="BI84" i="12" s="1"/>
  <c r="BJ84" i="12" s="1"/>
  <c r="BK84" i="12" s="1"/>
  <c r="BL84" i="12" s="1"/>
  <c r="BM84" i="12" s="1"/>
  <c r="BN84" i="12" s="1"/>
  <c r="BO84" i="12" s="1"/>
  <c r="BP84" i="12" s="1"/>
  <c r="BQ84" i="12" s="1"/>
  <c r="BR84" i="12" s="1"/>
  <c r="BS84" i="12" s="1"/>
  <c r="BT84" i="12" s="1"/>
  <c r="BU84" i="12" s="1"/>
  <c r="BV84" i="12" s="1"/>
  <c r="BW84" i="12" s="1"/>
  <c r="BX84" i="12" s="1"/>
  <c r="AO100" i="10"/>
  <c r="AO117" i="10"/>
  <c r="AP84" i="10"/>
  <c r="AQ84" i="10" s="1"/>
  <c r="AR84" i="10" s="1"/>
  <c r="AS84" i="10" s="1"/>
  <c r="AT84" i="10" s="1"/>
  <c r="AU84" i="10" s="1"/>
  <c r="AV84" i="10" s="1"/>
  <c r="AW84" i="10" s="1"/>
  <c r="AX84" i="10" s="1"/>
  <c r="AY84" i="10" s="1"/>
  <c r="AZ84" i="10" s="1"/>
  <c r="BA84" i="10" s="1"/>
  <c r="BB84" i="10" s="1"/>
  <c r="BC84" i="10" s="1"/>
  <c r="BD84" i="10" s="1"/>
  <c r="BE84" i="10" s="1"/>
  <c r="BF84" i="10" s="1"/>
  <c r="BG84" i="10" s="1"/>
  <c r="BH84" i="10" s="1"/>
  <c r="BI84" i="10" s="1"/>
  <c r="BJ84" i="10" s="1"/>
  <c r="BK84" i="10" s="1"/>
  <c r="BL84" i="10" s="1"/>
  <c r="BM84" i="10" s="1"/>
  <c r="BN84" i="10" s="1"/>
  <c r="BO84" i="10" s="1"/>
  <c r="BP84" i="10" s="1"/>
  <c r="BQ84" i="10" s="1"/>
  <c r="BR84" i="10" s="1"/>
  <c r="BS84" i="10" s="1"/>
  <c r="BT84" i="10" s="1"/>
  <c r="BU84" i="10" s="1"/>
  <c r="BV84" i="10" s="1"/>
  <c r="BW84" i="10" s="1"/>
  <c r="BX84" i="10" s="1"/>
  <c r="AK85" i="8"/>
  <c r="AL85" i="8" s="1"/>
  <c r="AM85" i="8" s="1"/>
  <c r="AN85" i="8" s="1"/>
  <c r="AO85" i="8" s="1"/>
  <c r="AP85" i="8" s="1"/>
  <c r="AQ85" i="8" s="1"/>
  <c r="AR85" i="8" s="1"/>
  <c r="AS85" i="8" s="1"/>
  <c r="AT85" i="8" s="1"/>
  <c r="AU85" i="8" s="1"/>
  <c r="AV85" i="8" s="1"/>
  <c r="AW85" i="8" s="1"/>
  <c r="AX85" i="8" s="1"/>
  <c r="AY85" i="8" s="1"/>
  <c r="AZ85" i="8" s="1"/>
  <c r="BA85" i="8" s="1"/>
  <c r="BB85" i="8" s="1"/>
  <c r="BC85" i="8" s="1"/>
  <c r="BD85" i="8" s="1"/>
  <c r="BE85" i="8" s="1"/>
  <c r="BF85" i="8" s="1"/>
  <c r="BG85" i="8" s="1"/>
  <c r="BH85" i="8" s="1"/>
  <c r="BI85" i="8" s="1"/>
  <c r="BJ85" i="8" s="1"/>
  <c r="BK85" i="8" s="1"/>
  <c r="BL85" i="8" s="1"/>
  <c r="BM85" i="8" s="1"/>
  <c r="BN85" i="8" s="1"/>
  <c r="BO85" i="8" s="1"/>
  <c r="BP85" i="8" s="1"/>
  <c r="BQ85" i="8" s="1"/>
  <c r="BR85" i="8" s="1"/>
  <c r="BS85" i="8" s="1"/>
  <c r="BT85" i="8" s="1"/>
  <c r="BU85" i="8" s="1"/>
  <c r="BV85" i="8" s="1"/>
  <c r="BW85" i="8" s="1"/>
  <c r="BX85" i="8" s="1"/>
  <c r="AJ101" i="8"/>
  <c r="AJ118" i="8"/>
  <c r="R38" i="2"/>
  <c r="R40" i="2" s="1"/>
  <c r="N37" i="2"/>
  <c r="N38" i="2"/>
  <c r="N39" i="2"/>
  <c r="AI84" i="6"/>
  <c r="CD53" i="6"/>
  <c r="BY83" i="6"/>
  <c r="CA12" i="6"/>
  <c r="CD12" i="6" s="1"/>
  <c r="CD11" i="6"/>
  <c r="AK85" i="9"/>
  <c r="AL85" i="9" s="1"/>
  <c r="AM85" i="9" s="1"/>
  <c r="AN85" i="9" l="1"/>
  <c r="AO85" i="9" s="1"/>
  <c r="AP85" i="9" s="1"/>
  <c r="AQ85" i="9" s="1"/>
  <c r="AR85" i="9" s="1"/>
  <c r="AS85" i="9" s="1"/>
  <c r="AT85" i="9" s="1"/>
  <c r="AU85" i="9" s="1"/>
  <c r="AV85" i="9" s="1"/>
  <c r="AW85" i="9" s="1"/>
  <c r="AX85" i="9" s="1"/>
  <c r="AY85" i="9" s="1"/>
  <c r="AZ85" i="9" s="1"/>
  <c r="BA85" i="9" s="1"/>
  <c r="BB85" i="9" s="1"/>
  <c r="BC85" i="9" s="1"/>
  <c r="BD85" i="9" s="1"/>
  <c r="BE85" i="9" s="1"/>
  <c r="BF85" i="9" s="1"/>
  <c r="BG85" i="9" s="1"/>
  <c r="BH85" i="9" s="1"/>
  <c r="BI85" i="9" s="1"/>
  <c r="BJ85" i="9" s="1"/>
  <c r="BK85" i="9" s="1"/>
  <c r="BL85" i="9" s="1"/>
  <c r="BM85" i="9" s="1"/>
  <c r="BN85" i="9" s="1"/>
  <c r="BO85" i="9" s="1"/>
  <c r="BP85" i="9" s="1"/>
  <c r="BQ85" i="9" s="1"/>
  <c r="BR85" i="9" s="1"/>
  <c r="BS85" i="9" s="1"/>
  <c r="BT85" i="9" s="1"/>
  <c r="BU85" i="9" s="1"/>
  <c r="BV85" i="9" s="1"/>
  <c r="BW85" i="9" s="1"/>
  <c r="BX85" i="9" s="1"/>
  <c r="BX94" i="9" s="1"/>
  <c r="AM118" i="9"/>
  <c r="AM101" i="9"/>
  <c r="AJ104" i="9"/>
  <c r="AJ119" i="9"/>
  <c r="BX90" i="9"/>
  <c r="D91" i="9" s="1"/>
  <c r="CD55" i="6"/>
  <c r="CE9" i="6"/>
  <c r="CE12" i="6"/>
  <c r="CD56" i="6"/>
  <c r="BZ86" i="6"/>
  <c r="BY85" i="6"/>
  <c r="AI117" i="6"/>
  <c r="AI100" i="6"/>
  <c r="AJ84" i="6"/>
  <c r="AK84" i="6" s="1"/>
  <c r="AL84" i="6" s="1"/>
  <c r="AM84" i="6" s="1"/>
  <c r="AN84" i="6" s="1"/>
  <c r="AO84" i="6" s="1"/>
  <c r="AP84" i="6" s="1"/>
  <c r="AQ84" i="6" s="1"/>
  <c r="AR84" i="6" s="1"/>
  <c r="AS84" i="6" s="1"/>
  <c r="AT84" i="6" s="1"/>
  <c r="AU84" i="6" s="1"/>
  <c r="AV84" i="6" s="1"/>
  <c r="AW84" i="6" s="1"/>
  <c r="AX84" i="6" s="1"/>
  <c r="AY84" i="6" s="1"/>
  <c r="AZ84" i="6" s="1"/>
  <c r="BA84" i="6" s="1"/>
  <c r="BB84" i="6" s="1"/>
  <c r="BC84" i="6" s="1"/>
  <c r="BD84" i="6" s="1"/>
  <c r="BE84" i="6" s="1"/>
  <c r="BF84" i="6" s="1"/>
  <c r="BG84" i="6" s="1"/>
  <c r="BH84" i="6" s="1"/>
  <c r="BI84" i="6" s="1"/>
  <c r="BJ84" i="6" s="1"/>
  <c r="BK84" i="6" s="1"/>
  <c r="BL84" i="6" s="1"/>
  <c r="BM84" i="6" s="1"/>
  <c r="BN84" i="6" s="1"/>
  <c r="BO84" i="6" s="1"/>
  <c r="BP84" i="6" s="1"/>
  <c r="BQ84" i="6" s="1"/>
  <c r="BR84" i="6" s="1"/>
  <c r="BS84" i="6" s="1"/>
  <c r="BT84" i="6" s="1"/>
  <c r="BU84" i="6" s="1"/>
  <c r="BV84" i="6" s="1"/>
  <c r="BW84" i="6" s="1"/>
  <c r="BX84" i="6" s="1"/>
  <c r="D125" i="8"/>
  <c r="AJ119" i="8"/>
  <c r="D109" i="8"/>
  <c r="AJ104" i="8"/>
  <c r="BX94" i="8"/>
  <c r="BX90" i="8"/>
  <c r="D91" i="8" s="1"/>
  <c r="BX93" i="10"/>
  <c r="BX89" i="10"/>
  <c r="D90" i="10" s="1"/>
  <c r="D124" i="10"/>
  <c r="AO118" i="10"/>
  <c r="D108" i="10"/>
  <c r="AO103" i="10"/>
  <c r="BX93" i="12"/>
  <c r="BX89" i="12"/>
  <c r="D90" i="12" s="1"/>
  <c r="D124" i="12"/>
  <c r="AO118" i="12"/>
  <c r="D108" i="12"/>
  <c r="AO103" i="12"/>
  <c r="D109" i="9" l="1"/>
  <c r="AM104" i="9"/>
  <c r="D106" i="9" s="1"/>
  <c r="D125" i="9"/>
  <c r="AM119" i="9"/>
  <c r="D121" i="9" s="1"/>
  <c r="D105" i="12"/>
  <c r="AO104" i="12"/>
  <c r="D120" i="12"/>
  <c r="AO119" i="12"/>
  <c r="BX116" i="12"/>
  <c r="BX118" i="12" s="1"/>
  <c r="BX101" i="12"/>
  <c r="BX100" i="12"/>
  <c r="BX103" i="12" s="1"/>
  <c r="BX155" i="12"/>
  <c r="BX138" i="12"/>
  <c r="D105" i="10"/>
  <c r="AO104" i="10"/>
  <c r="D120" i="10"/>
  <c r="AO119" i="10"/>
  <c r="BX116" i="10"/>
  <c r="BX118" i="10" s="1"/>
  <c r="BX101" i="10"/>
  <c r="BX100" i="10"/>
  <c r="BX103" i="10" s="1"/>
  <c r="BX155" i="10"/>
  <c r="BX138" i="10"/>
  <c r="BX117" i="8"/>
  <c r="BX119" i="8" s="1"/>
  <c r="BX102" i="8"/>
  <c r="BX101" i="8"/>
  <c r="D106" i="8"/>
  <c r="AJ105" i="8"/>
  <c r="D121" i="8"/>
  <c r="AJ120" i="8"/>
  <c r="BX93" i="6"/>
  <c r="BX89" i="6"/>
  <c r="D90" i="6" s="1"/>
  <c r="D108" i="6"/>
  <c r="AI103" i="6"/>
  <c r="D124" i="6"/>
  <c r="AI118" i="6"/>
  <c r="CD17" i="6"/>
  <c r="CD60" i="6" s="1"/>
  <c r="BX117" i="9"/>
  <c r="BX119" i="9" s="1"/>
  <c r="BX102" i="9"/>
  <c r="BX101" i="9"/>
  <c r="BX104" i="9" s="1"/>
  <c r="AJ120" i="9"/>
  <c r="AJ105" i="9"/>
  <c r="BX104" i="8" l="1"/>
  <c r="AK105" i="9"/>
  <c r="AK120" i="9"/>
  <c r="AL120" i="9" s="1"/>
  <c r="AM120" i="9" s="1"/>
  <c r="AN120" i="9" s="1"/>
  <c r="AO120" i="9" s="1"/>
  <c r="AP120" i="9" s="1"/>
  <c r="AQ120" i="9" s="1"/>
  <c r="AR120" i="9" s="1"/>
  <c r="AS120" i="9" s="1"/>
  <c r="AT120" i="9" s="1"/>
  <c r="AU120" i="9" s="1"/>
  <c r="AV120" i="9" s="1"/>
  <c r="AW120" i="9" s="1"/>
  <c r="AX120" i="9" s="1"/>
  <c r="AY120" i="9" s="1"/>
  <c r="AZ120" i="9" s="1"/>
  <c r="BA120" i="9" s="1"/>
  <c r="BB120" i="9" s="1"/>
  <c r="BC120" i="9" s="1"/>
  <c r="BD120" i="9" s="1"/>
  <c r="BE120" i="9" s="1"/>
  <c r="BF120" i="9" s="1"/>
  <c r="BG120" i="9" s="1"/>
  <c r="BH120" i="9" s="1"/>
  <c r="BI120" i="9" s="1"/>
  <c r="BJ120" i="9" s="1"/>
  <c r="BK120" i="9" s="1"/>
  <c r="BL120" i="9" s="1"/>
  <c r="BM120" i="9" s="1"/>
  <c r="BN120" i="9" s="1"/>
  <c r="BO120" i="9" s="1"/>
  <c r="BP120" i="9" s="1"/>
  <c r="BQ120" i="9" s="1"/>
  <c r="BR120" i="9" s="1"/>
  <c r="BS120" i="9" s="1"/>
  <c r="BT120" i="9" s="1"/>
  <c r="BU120" i="9" s="1"/>
  <c r="BV120" i="9" s="1"/>
  <c r="BW120" i="9" s="1"/>
  <c r="BX120" i="9" s="1"/>
  <c r="D120" i="6"/>
  <c r="AI119" i="6"/>
  <c r="D105" i="6"/>
  <c r="AI104" i="6"/>
  <c r="BX116" i="6"/>
  <c r="BX118" i="6" s="1"/>
  <c r="BX101" i="6"/>
  <c r="BX100" i="6"/>
  <c r="BX103" i="6" s="1"/>
  <c r="BX149" i="6"/>
  <c r="BX132" i="6"/>
  <c r="AK120" i="8"/>
  <c r="AK105" i="8"/>
  <c r="AL105" i="8" s="1"/>
  <c r="AM105" i="8" s="1"/>
  <c r="AN105" i="8" s="1"/>
  <c r="AO105" i="8" s="1"/>
  <c r="AP105" i="8" s="1"/>
  <c r="AQ105" i="8" s="1"/>
  <c r="AR105" i="8" s="1"/>
  <c r="AS105" i="8" s="1"/>
  <c r="AT105" i="8" s="1"/>
  <c r="AU105" i="8" s="1"/>
  <c r="AV105" i="8" s="1"/>
  <c r="AW105" i="8" s="1"/>
  <c r="AX105" i="8" s="1"/>
  <c r="AY105" i="8" s="1"/>
  <c r="AZ105" i="8" s="1"/>
  <c r="BA105" i="8" s="1"/>
  <c r="BB105" i="8" s="1"/>
  <c r="BC105" i="8" s="1"/>
  <c r="BD105" i="8" s="1"/>
  <c r="BE105" i="8" s="1"/>
  <c r="BF105" i="8" s="1"/>
  <c r="BG105" i="8" s="1"/>
  <c r="BH105" i="8" s="1"/>
  <c r="BI105" i="8" s="1"/>
  <c r="BJ105" i="8" s="1"/>
  <c r="BK105" i="8" s="1"/>
  <c r="BL105" i="8" s="1"/>
  <c r="BM105" i="8" s="1"/>
  <c r="BN105" i="8" s="1"/>
  <c r="BO105" i="8" s="1"/>
  <c r="BP105" i="8" s="1"/>
  <c r="BQ105" i="8" s="1"/>
  <c r="BR105" i="8" s="1"/>
  <c r="BS105" i="8" s="1"/>
  <c r="BT105" i="8" s="1"/>
  <c r="BU105" i="8" s="1"/>
  <c r="BV105" i="8" s="1"/>
  <c r="BW105" i="8" s="1"/>
  <c r="BX105" i="8" s="1"/>
  <c r="D146" i="10"/>
  <c r="D147" i="10" s="1"/>
  <c r="BX140" i="10"/>
  <c r="D163" i="10"/>
  <c r="D164" i="10" s="1"/>
  <c r="BX157" i="10"/>
  <c r="AP119" i="10"/>
  <c r="AP104" i="10"/>
  <c r="AQ104" i="10" s="1"/>
  <c r="AR104" i="10" s="1"/>
  <c r="AS104" i="10" s="1"/>
  <c r="AT104" i="10" s="1"/>
  <c r="AU104" i="10" s="1"/>
  <c r="AV104" i="10" s="1"/>
  <c r="AW104" i="10" s="1"/>
  <c r="AX104" i="10" s="1"/>
  <c r="AY104" i="10" s="1"/>
  <c r="AZ104" i="10" s="1"/>
  <c r="BA104" i="10" s="1"/>
  <c r="BB104" i="10" s="1"/>
  <c r="BC104" i="10" s="1"/>
  <c r="BD104" i="10" s="1"/>
  <c r="BE104" i="10" s="1"/>
  <c r="BF104" i="10" s="1"/>
  <c r="BG104" i="10" s="1"/>
  <c r="BH104" i="10" s="1"/>
  <c r="BI104" i="10" s="1"/>
  <c r="BJ104" i="10" s="1"/>
  <c r="BK104" i="10" s="1"/>
  <c r="BL104" i="10" s="1"/>
  <c r="BM104" i="10" s="1"/>
  <c r="BN104" i="10" s="1"/>
  <c r="BO104" i="10" s="1"/>
  <c r="BP104" i="10" s="1"/>
  <c r="BQ104" i="10" s="1"/>
  <c r="BR104" i="10" s="1"/>
  <c r="BS104" i="10" s="1"/>
  <c r="BT104" i="10" s="1"/>
  <c r="BU104" i="10" s="1"/>
  <c r="BV104" i="10" s="1"/>
  <c r="BW104" i="10" s="1"/>
  <c r="BX104" i="10" s="1"/>
  <c r="D146" i="12"/>
  <c r="D147" i="12" s="1"/>
  <c r="BX140" i="12"/>
  <c r="D163" i="12"/>
  <c r="D164" i="12" s="1"/>
  <c r="BX157" i="12"/>
  <c r="AP119" i="12"/>
  <c r="AP104" i="12"/>
  <c r="AQ104" i="12" s="1"/>
  <c r="AR104" i="12" s="1"/>
  <c r="AS104" i="12" s="1"/>
  <c r="AT104" i="12" s="1"/>
  <c r="AU104" i="12" s="1"/>
  <c r="AV104" i="12" s="1"/>
  <c r="AW104" i="12" s="1"/>
  <c r="AX104" i="12" s="1"/>
  <c r="AY104" i="12" s="1"/>
  <c r="AZ104" i="12" s="1"/>
  <c r="BA104" i="12" s="1"/>
  <c r="BB104" i="12" s="1"/>
  <c r="BC104" i="12" s="1"/>
  <c r="BD104" i="12" s="1"/>
  <c r="BE104" i="12" s="1"/>
  <c r="BF104" i="12" s="1"/>
  <c r="BG104" i="12" s="1"/>
  <c r="BH104" i="12" s="1"/>
  <c r="BI104" i="12" s="1"/>
  <c r="BJ104" i="12" s="1"/>
  <c r="BK104" i="12" s="1"/>
  <c r="BL104" i="12" s="1"/>
  <c r="BM104" i="12" s="1"/>
  <c r="BN104" i="12" s="1"/>
  <c r="BO104" i="12" s="1"/>
  <c r="BP104" i="12" s="1"/>
  <c r="BQ104" i="12" s="1"/>
  <c r="BR104" i="12" s="1"/>
  <c r="BS104" i="12" s="1"/>
  <c r="BT104" i="12" s="1"/>
  <c r="BU104" i="12" s="1"/>
  <c r="BV104" i="12" s="1"/>
  <c r="BW104" i="12" s="1"/>
  <c r="BX104" i="12" s="1"/>
  <c r="D106" i="12"/>
  <c r="D107" i="12" s="1"/>
  <c r="D109" i="12" s="1"/>
  <c r="D122" i="9" l="1"/>
  <c r="D124" i="9" s="1"/>
  <c r="D126" i="9" s="1"/>
  <c r="D107" i="8"/>
  <c r="D108" i="8" s="1"/>
  <c r="D110" i="8" s="1"/>
  <c r="D106" i="10"/>
  <c r="D107" i="10" s="1"/>
  <c r="D109" i="10" s="1"/>
  <c r="AQ119" i="12"/>
  <c r="AR119" i="12" s="1"/>
  <c r="AS119" i="12" s="1"/>
  <c r="AT119" i="12" s="1"/>
  <c r="AU119" i="12" s="1"/>
  <c r="AV119" i="12" s="1"/>
  <c r="AW119" i="12" s="1"/>
  <c r="AX119" i="12" s="1"/>
  <c r="AY119" i="12" s="1"/>
  <c r="AZ119" i="12" s="1"/>
  <c r="BA119" i="12" s="1"/>
  <c r="BB119" i="12" s="1"/>
  <c r="BC119" i="12" s="1"/>
  <c r="BD119" i="12" s="1"/>
  <c r="BE119" i="12" s="1"/>
  <c r="BF119" i="12" s="1"/>
  <c r="BG119" i="12" s="1"/>
  <c r="BH119" i="12" s="1"/>
  <c r="BI119" i="12" s="1"/>
  <c r="BJ119" i="12" s="1"/>
  <c r="BK119" i="12" s="1"/>
  <c r="BL119" i="12" s="1"/>
  <c r="BM119" i="12" s="1"/>
  <c r="BN119" i="12" s="1"/>
  <c r="BO119" i="12" s="1"/>
  <c r="BP119" i="12" s="1"/>
  <c r="BQ119" i="12" s="1"/>
  <c r="BR119" i="12" s="1"/>
  <c r="BS119" i="12" s="1"/>
  <c r="BT119" i="12" s="1"/>
  <c r="BU119" i="12" s="1"/>
  <c r="BV119" i="12" s="1"/>
  <c r="BW119" i="12" s="1"/>
  <c r="BX119" i="12" s="1"/>
  <c r="D121" i="12"/>
  <c r="D123" i="12" s="1"/>
  <c r="D125" i="12" s="1"/>
  <c r="D159" i="12"/>
  <c r="BX158" i="12"/>
  <c r="D142" i="12"/>
  <c r="BX141" i="12"/>
  <c r="AQ119" i="10"/>
  <c r="AR119" i="10" s="1"/>
  <c r="AS119" i="10" s="1"/>
  <c r="AT119" i="10" s="1"/>
  <c r="AU119" i="10" s="1"/>
  <c r="AV119" i="10" s="1"/>
  <c r="AW119" i="10" s="1"/>
  <c r="AX119" i="10" s="1"/>
  <c r="AY119" i="10" s="1"/>
  <c r="AZ119" i="10" s="1"/>
  <c r="BA119" i="10" s="1"/>
  <c r="BB119" i="10" s="1"/>
  <c r="BC119" i="10" s="1"/>
  <c r="BD119" i="10" s="1"/>
  <c r="BE119" i="10" s="1"/>
  <c r="BF119" i="10" s="1"/>
  <c r="BG119" i="10" s="1"/>
  <c r="BH119" i="10" s="1"/>
  <c r="BI119" i="10" s="1"/>
  <c r="BJ119" i="10" s="1"/>
  <c r="BK119" i="10" s="1"/>
  <c r="BL119" i="10" s="1"/>
  <c r="BM119" i="10" s="1"/>
  <c r="BN119" i="10" s="1"/>
  <c r="BO119" i="10" s="1"/>
  <c r="BP119" i="10" s="1"/>
  <c r="BQ119" i="10" s="1"/>
  <c r="BR119" i="10" s="1"/>
  <c r="BS119" i="10" s="1"/>
  <c r="BT119" i="10" s="1"/>
  <c r="BU119" i="10" s="1"/>
  <c r="BV119" i="10" s="1"/>
  <c r="BW119" i="10" s="1"/>
  <c r="BX119" i="10" s="1"/>
  <c r="D159" i="10"/>
  <c r="BX158" i="10"/>
  <c r="D142" i="10"/>
  <c r="BX141" i="10"/>
  <c r="AL120" i="8"/>
  <c r="AM120" i="8" s="1"/>
  <c r="AN120" i="8" s="1"/>
  <c r="AO120" i="8" s="1"/>
  <c r="AP120" i="8" s="1"/>
  <c r="AQ120" i="8" s="1"/>
  <c r="AR120" i="8" s="1"/>
  <c r="AS120" i="8" s="1"/>
  <c r="AT120" i="8" s="1"/>
  <c r="AU120" i="8" s="1"/>
  <c r="AV120" i="8" s="1"/>
  <c r="AW120" i="8" s="1"/>
  <c r="AX120" i="8" s="1"/>
  <c r="AY120" i="8" s="1"/>
  <c r="AZ120" i="8" s="1"/>
  <c r="BA120" i="8" s="1"/>
  <c r="BB120" i="8" s="1"/>
  <c r="BC120" i="8" s="1"/>
  <c r="BD120" i="8" s="1"/>
  <c r="BE120" i="8" s="1"/>
  <c r="BF120" i="8" s="1"/>
  <c r="BG120" i="8" s="1"/>
  <c r="BH120" i="8" s="1"/>
  <c r="BI120" i="8" s="1"/>
  <c r="BJ120" i="8" s="1"/>
  <c r="BK120" i="8" s="1"/>
  <c r="BL120" i="8" s="1"/>
  <c r="BM120" i="8" s="1"/>
  <c r="BN120" i="8" s="1"/>
  <c r="BO120" i="8" s="1"/>
  <c r="BP120" i="8" s="1"/>
  <c r="BQ120" i="8" s="1"/>
  <c r="BR120" i="8" s="1"/>
  <c r="BS120" i="8" s="1"/>
  <c r="BT120" i="8" s="1"/>
  <c r="BU120" i="8" s="1"/>
  <c r="BV120" i="8" s="1"/>
  <c r="BW120" i="8" s="1"/>
  <c r="BX120" i="8" s="1"/>
  <c r="D140" i="6"/>
  <c r="D141" i="6" s="1"/>
  <c r="BX134" i="6"/>
  <c r="D157" i="6"/>
  <c r="D158" i="6" s="1"/>
  <c r="BX151" i="6"/>
  <c r="AJ104" i="6"/>
  <c r="AJ119" i="6"/>
  <c r="AK119" i="6" s="1"/>
  <c r="AL119" i="6" s="1"/>
  <c r="AM119" i="6" s="1"/>
  <c r="AN119" i="6" s="1"/>
  <c r="AO119" i="6" s="1"/>
  <c r="AP119" i="6" s="1"/>
  <c r="AQ119" i="6" s="1"/>
  <c r="AR119" i="6" s="1"/>
  <c r="AS119" i="6" s="1"/>
  <c r="AT119" i="6" s="1"/>
  <c r="AU119" i="6" s="1"/>
  <c r="AV119" i="6" s="1"/>
  <c r="AW119" i="6" s="1"/>
  <c r="AX119" i="6" s="1"/>
  <c r="AY119" i="6" s="1"/>
  <c r="AZ119" i="6" s="1"/>
  <c r="BA119" i="6" s="1"/>
  <c r="BB119" i="6" s="1"/>
  <c r="BC119" i="6" s="1"/>
  <c r="BD119" i="6" s="1"/>
  <c r="BE119" i="6" s="1"/>
  <c r="BF119" i="6" s="1"/>
  <c r="BG119" i="6" s="1"/>
  <c r="BH119" i="6" s="1"/>
  <c r="BI119" i="6" s="1"/>
  <c r="BJ119" i="6" s="1"/>
  <c r="BK119" i="6" s="1"/>
  <c r="BL119" i="6" s="1"/>
  <c r="BM119" i="6" s="1"/>
  <c r="BN119" i="6" s="1"/>
  <c r="BO119" i="6" s="1"/>
  <c r="BP119" i="6" s="1"/>
  <c r="BQ119" i="6" s="1"/>
  <c r="BR119" i="6" s="1"/>
  <c r="BS119" i="6" s="1"/>
  <c r="BT119" i="6" s="1"/>
  <c r="BU119" i="6" s="1"/>
  <c r="BV119" i="6" s="1"/>
  <c r="BW119" i="6" s="1"/>
  <c r="BX119" i="6" s="1"/>
  <c r="D121" i="6"/>
  <c r="D123" i="6" s="1"/>
  <c r="D125" i="6" s="1"/>
  <c r="AL105" i="9"/>
  <c r="AM105" i="9" s="1"/>
  <c r="AN105" i="9" s="1"/>
  <c r="AO105" i="9" s="1"/>
  <c r="AP105" i="9" s="1"/>
  <c r="AQ105" i="9" s="1"/>
  <c r="AR105" i="9" s="1"/>
  <c r="AS105" i="9" s="1"/>
  <c r="AT105" i="9" s="1"/>
  <c r="AU105" i="9" s="1"/>
  <c r="AV105" i="9" s="1"/>
  <c r="AW105" i="9" s="1"/>
  <c r="AX105" i="9" s="1"/>
  <c r="AY105" i="9" s="1"/>
  <c r="AZ105" i="9" s="1"/>
  <c r="BA105" i="9" s="1"/>
  <c r="BB105" i="9" s="1"/>
  <c r="BC105" i="9" s="1"/>
  <c r="BD105" i="9" s="1"/>
  <c r="BE105" i="9" s="1"/>
  <c r="BF105" i="9" s="1"/>
  <c r="BG105" i="9" s="1"/>
  <c r="BH105" i="9" s="1"/>
  <c r="BI105" i="9" s="1"/>
  <c r="BJ105" i="9" s="1"/>
  <c r="BK105" i="9" s="1"/>
  <c r="BL105" i="9" s="1"/>
  <c r="BM105" i="9" s="1"/>
  <c r="BN105" i="9" s="1"/>
  <c r="BO105" i="9" s="1"/>
  <c r="BP105" i="9" s="1"/>
  <c r="BQ105" i="9" s="1"/>
  <c r="BR105" i="9" s="1"/>
  <c r="BS105" i="9" s="1"/>
  <c r="BT105" i="9" s="1"/>
  <c r="BU105" i="9" s="1"/>
  <c r="BV105" i="9" s="1"/>
  <c r="BW105" i="9" s="1"/>
  <c r="BX105" i="9" s="1"/>
  <c r="D107" i="9" l="1"/>
  <c r="D108" i="9" s="1"/>
  <c r="D110" i="9" s="1"/>
  <c r="D122" i="8"/>
  <c r="D124" i="8" s="1"/>
  <c r="D126" i="8" s="1"/>
  <c r="D121" i="10"/>
  <c r="D123" i="10" s="1"/>
  <c r="D125" i="10" s="1"/>
  <c r="AK104" i="6"/>
  <c r="AL104" i="6" s="1"/>
  <c r="AM104" i="6" s="1"/>
  <c r="AN104" i="6" s="1"/>
  <c r="AO104" i="6" s="1"/>
  <c r="AP104" i="6" s="1"/>
  <c r="AQ104" i="6" s="1"/>
  <c r="AR104" i="6" s="1"/>
  <c r="AS104" i="6" s="1"/>
  <c r="AT104" i="6" s="1"/>
  <c r="AU104" i="6" s="1"/>
  <c r="AV104" i="6" s="1"/>
  <c r="AW104" i="6" s="1"/>
  <c r="AX104" i="6" s="1"/>
  <c r="AY104" i="6" s="1"/>
  <c r="AZ104" i="6" s="1"/>
  <c r="BA104" i="6" s="1"/>
  <c r="BB104" i="6" s="1"/>
  <c r="BC104" i="6" s="1"/>
  <c r="BD104" i="6" s="1"/>
  <c r="BE104" i="6" s="1"/>
  <c r="BF104" i="6" s="1"/>
  <c r="BG104" i="6" s="1"/>
  <c r="BH104" i="6" s="1"/>
  <c r="BI104" i="6" s="1"/>
  <c r="BJ104" i="6" s="1"/>
  <c r="BK104" i="6" s="1"/>
  <c r="BL104" i="6" s="1"/>
  <c r="BM104" i="6" s="1"/>
  <c r="BN104" i="6" s="1"/>
  <c r="BO104" i="6" s="1"/>
  <c r="BP104" i="6" s="1"/>
  <c r="BQ104" i="6" s="1"/>
  <c r="BR104" i="6" s="1"/>
  <c r="BS104" i="6" s="1"/>
  <c r="BT104" i="6" s="1"/>
  <c r="BU104" i="6" s="1"/>
  <c r="BV104" i="6" s="1"/>
  <c r="BW104" i="6" s="1"/>
  <c r="BX104" i="6" s="1"/>
  <c r="D153" i="6"/>
  <c r="BX152" i="6"/>
  <c r="D136" i="6"/>
  <c r="BX135" i="6"/>
  <c r="D106" i="6" l="1"/>
  <c r="D107" i="6" s="1"/>
  <c r="D109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tc={FAE26FF2-D3A8-4AB3-B712-A2AAAAC91B35}</author>
    <author>tc={B132347C-0A65-4AF8-B296-7858D0B0EE3A}</author>
    <author>tc={3109D1A4-CA57-4C56-B817-C465DBBCBE0C}</author>
    <author>tc={B069E7A4-26E2-4603-81E2-EC445057B34A}</author>
  </authors>
  <commentList>
    <comment ref="B2" authorId="0" shapeId="0" xr:uid="{FAE26FF2-D3A8-4AB3-B712-A2AAAAC91B35}">
      <text>
        <t>[Threaded comment]
Your version of Excel allows you to read this threaded comment; however, any edits to it will get removed if the file is opened in a newer version of Excel. Learn more: https://go.microsoft.com/fwlink/?linkid=870924
Comment:
    02.2026</t>
      </text>
    </comment>
    <comment ref="B4" authorId="1" shapeId="0" xr:uid="{B132347C-0A65-4AF8-B296-7858D0B0EE3A}">
      <text>
        <t>[Threaded comment]
Your version of Excel allows you to read this threaded comment; however, any edits to it will get removed if the file is opened in a newer version of Excel. Learn more: https://go.microsoft.com/fwlink/?linkid=870924
Comment:
    02.2026</t>
      </text>
    </comment>
    <comment ref="D4" authorId="2" shapeId="0" xr:uid="{3109D1A4-CA57-4C56-B817-C465DBBCBE0C}">
      <text>
        <t>[Threaded comment]
Your version of Excel allows you to read this threaded comment; however, any edits to it will get removed if the file is opened in a newer version of Excel. Learn more: https://go.microsoft.com/fwlink/?linkid=870924
Comment:
    Teta</t>
      </text>
    </comment>
    <comment ref="B6" authorId="3" shapeId="0" xr:uid="{B069E7A4-26E2-4603-81E2-EC445057B34A}">
      <text>
        <t>[Threaded comment]
Your version of Excel allows you to read this threaded comment; however, any edits to it will get removed if the file is opened in a newer version of Excel. Learn more: https://go.microsoft.com/fwlink/?linkid=870924
Comment:
    03.2026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32" authorId="0" shapeId="0" xr:uid="{00000000-0006-0000-0700-000001000000}">
      <text>
        <r>
          <rPr>
            <sz val="11"/>
            <color theme="1"/>
            <rFont val="Arial"/>
            <family val="2"/>
            <scheme val="minor"/>
          </rPr>
          <t>CEZ doplata
	-Dmitry Egorov</t>
        </r>
      </text>
    </comment>
  </commentList>
</comments>
</file>

<file path=xl/sharedStrings.xml><?xml version="1.0" encoding="utf-8"?>
<sst xmlns="http://schemas.openxmlformats.org/spreadsheetml/2006/main" count="1571" uniqueCount="352">
  <si>
    <t>HOT</t>
  </si>
  <si>
    <t>SOSBN</t>
  </si>
  <si>
    <t>NS</t>
  </si>
  <si>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</si>
  <si>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</si>
  <si>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</si>
  <si>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</si>
  <si>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</si>
  <si>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</si>
  <si>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</si>
  <si>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</si>
  <si>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</si>
  <si>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</si>
  <si>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</si>
  <si>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</si>
  <si>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</si>
  <si>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</si>
  <si>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</si>
  <si>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</si>
  <si>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</si>
  <si>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</si>
  <si>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</si>
  <si>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Penny</t>
  </si>
  <si>
    <t>měsíčně</t>
  </si>
  <si>
    <t>full fit-out</t>
  </si>
  <si>
    <t>VOLNA PLOCHA</t>
  </si>
  <si>
    <t>pozemek</t>
  </si>
  <si>
    <t>Teta</t>
  </si>
  <si>
    <t>Traficon</t>
  </si>
  <si>
    <t>MYČKA</t>
  </si>
  <si>
    <t>Alza</t>
  </si>
  <si>
    <t>0 Kč</t>
  </si>
  <si>
    <t>CELKEM</t>
  </si>
  <si>
    <t>CELKEM, rok</t>
  </si>
  <si>
    <t>CHECK</t>
  </si>
  <si>
    <t>Celkova plocha</t>
  </si>
  <si>
    <t>Celkovy najem rok</t>
  </si>
  <si>
    <t>Zastavitelnost pozemku</t>
  </si>
  <si>
    <t>Pozdovana zastavitelnost</t>
  </si>
  <si>
    <t>Kurz EUR/CZK</t>
  </si>
  <si>
    <t>PROJEKT:  Horní Bříza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</si>
  <si>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</si>
  <si>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</si>
  <si>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</si>
  <si>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</si>
  <si>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</si>
  <si>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</si>
  <si>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</si>
  <si>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</si>
  <si>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</si>
  <si>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</si>
  <si>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</si>
  <si>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</si>
  <si>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sevis fix</t>
  </si>
  <si>
    <t>Kč celkem</t>
  </si>
  <si>
    <t>Analýza pozemků</t>
  </si>
  <si>
    <t>kpl</t>
  </si>
  <si>
    <t>Připrava projektu</t>
  </si>
  <si>
    <t>Prodej pozemku</t>
  </si>
  <si>
    <t xml:space="preserve">Územní rozhodnutí </t>
  </si>
  <si>
    <t>vyjadřovaní DOSS</t>
  </si>
  <si>
    <t xml:space="preserve">Stavební povolení </t>
  </si>
  <si>
    <t>pct</t>
  </si>
  <si>
    <t>Vystavba projektu</t>
  </si>
  <si>
    <t xml:space="preserve">Kolaudace </t>
  </si>
  <si>
    <t>Celkem</t>
  </si>
  <si>
    <t>Celkem měsiců</t>
  </si>
  <si>
    <t>Cena na m2 prodejní plochy</t>
  </si>
  <si>
    <t>B.</t>
  </si>
  <si>
    <t>Celkem plocha m2</t>
  </si>
  <si>
    <t>Průměr</t>
  </si>
  <si>
    <t>Reziduální hodnota pozemku (Yield Development)</t>
  </si>
  <si>
    <t>Jednotka</t>
  </si>
  <si>
    <t>JC</t>
  </si>
  <si>
    <t>Celkem výnosy GRI (rok)</t>
  </si>
  <si>
    <t>Yield Development</t>
  </si>
  <si>
    <t>YIELD Development</t>
  </si>
  <si>
    <t>Potřeba &gt;9%</t>
  </si>
  <si>
    <t>Roční nájem v Kč</t>
  </si>
  <si>
    <t>Retail park</t>
  </si>
  <si>
    <t>Prime YIELD</t>
  </si>
  <si>
    <t>Náklady projektu bez pozemku</t>
  </si>
  <si>
    <t>ZSPD</t>
  </si>
  <si>
    <t>OPEX</t>
  </si>
  <si>
    <t>Pořizovací cena z YIELDu</t>
  </si>
  <si>
    <t>NET YIELD Development</t>
  </si>
  <si>
    <t>Hrubá reziduální hodnota pozemku</t>
  </si>
  <si>
    <t>YIELD Market</t>
  </si>
  <si>
    <t>ČISTÁ REZIDUÁLNÍ HODNOTA POZEMKU</t>
  </si>
  <si>
    <t>Prodejce</t>
  </si>
  <si>
    <t>Daň z zisků(prodej pozemek rez.)</t>
  </si>
  <si>
    <t>LCGT discount</t>
  </si>
  <si>
    <t>C.</t>
  </si>
  <si>
    <t>Prodej pozemku (% plochy)</t>
  </si>
  <si>
    <t>Reziduální hodnota pozemku (YIELD Market)</t>
  </si>
  <si>
    <t xml:space="preserve">Prodejní cena pozemek </t>
  </si>
  <si>
    <t>Marže v %</t>
  </si>
  <si>
    <t xml:space="preserve">Prodejní cena retail </t>
  </si>
  <si>
    <t>Marže v Kč</t>
  </si>
  <si>
    <t>Shell &amp; Core</t>
  </si>
  <si>
    <t>Prodejní cena celkem</t>
  </si>
  <si>
    <t>Komunikace</t>
  </si>
  <si>
    <t xml:space="preserve">Prodejní cena </t>
  </si>
  <si>
    <t>HTU</t>
  </si>
  <si>
    <t>Net profit</t>
  </si>
  <si>
    <t>Hodnota pozemku po SP</t>
  </si>
  <si>
    <t>Marže</t>
  </si>
  <si>
    <t>Potřeba &gt;17,00%</t>
  </si>
  <si>
    <t>Marže %</t>
  </si>
  <si>
    <t>Přispěvek Alza</t>
  </si>
  <si>
    <t>Marže na nákladech</t>
  </si>
  <si>
    <t>Potřeba &gt;20,00%</t>
  </si>
  <si>
    <t>Marže Kč</t>
  </si>
  <si>
    <t>Čistá marže na equity</t>
  </si>
  <si>
    <t>D.</t>
  </si>
  <si>
    <t>Přispěvek Penny</t>
  </si>
  <si>
    <t>Citlivostní analýza poklesu YIELD</t>
  </si>
  <si>
    <t>NET PROFIT</t>
  </si>
  <si>
    <t>Yield</t>
  </si>
  <si>
    <t>E.</t>
  </si>
  <si>
    <t>DD včetně odhadu nákladů</t>
  </si>
  <si>
    <t>příprava/měsíční rejt z kterého lze počítat měsíční skutečnost</t>
  </si>
  <si>
    <t>Citlivostní analýza změny ceny stavby (YIELD 7,2%)</t>
  </si>
  <si>
    <t>realizace/PM/TDI/měsíc</t>
  </si>
  <si>
    <t>Δ stavby</t>
  </si>
  <si>
    <t>ptc</t>
  </si>
  <si>
    <t>Citlivostní analýza pří prodloužení projektu</t>
  </si>
  <si>
    <t>Δ (mes)</t>
  </si>
  <si>
    <t>month</t>
  </si>
  <si>
    <t>F.</t>
  </si>
  <si>
    <t>Financování</t>
  </si>
  <si>
    <t>p.a</t>
  </si>
  <si>
    <t>Sources</t>
  </si>
  <si>
    <t>Const. Loan</t>
  </si>
  <si>
    <t>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</si>
  <si>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</si>
  <si>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</si>
  <si>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</si>
  <si>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</si>
  <si>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</si>
  <si>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Etapy</t>
  </si>
  <si>
    <t>Reformat</t>
  </si>
  <si>
    <t>Milník</t>
  </si>
  <si>
    <t>Podil milníku na projektu</t>
  </si>
  <si>
    <t>Úkol</t>
  </si>
  <si>
    <t>Začátek</t>
  </si>
  <si>
    <t>Konec</t>
  </si>
  <si>
    <t>Očekavány výsledek</t>
  </si>
  <si>
    <t>Výsledek</t>
  </si>
  <si>
    <t>Komentář</t>
  </si>
  <si>
    <t>Aktuální stav</t>
  </si>
  <si>
    <t>Odkaz</t>
  </si>
  <si>
    <t>Odpovědná osoba</t>
  </si>
  <si>
    <t>Podpůrné zdroje</t>
  </si>
  <si>
    <t>Přípravná fáze výstavby</t>
  </si>
  <si>
    <t>zapis KS</t>
  </si>
  <si>
    <t>Úkol (test)</t>
  </si>
  <si>
    <t>Projektování</t>
  </si>
  <si>
    <t>Nabýti SP</t>
  </si>
  <si>
    <t>Výstavba</t>
  </si>
  <si>
    <t>Nájem</t>
  </si>
  <si>
    <t>Najem</t>
  </si>
  <si>
    <t>Finacování</t>
  </si>
  <si>
    <t>Equity</t>
  </si>
  <si>
    <t>Akvizice</t>
  </si>
  <si>
    <t>Interní</t>
  </si>
  <si>
    <t>Začátek projektu</t>
  </si>
  <si>
    <t>TOTAL</t>
  </si>
  <si>
    <t>Dneska</t>
  </si>
  <si>
    <t>Podil milníku na projektu %</t>
  </si>
  <si>
    <t>Podil milníku na projektu Kč</t>
  </si>
  <si>
    <t>Vypočet den</t>
  </si>
  <si>
    <t>fákt ke dni</t>
  </si>
  <si>
    <t>STAVBA</t>
  </si>
  <si>
    <t>Cash -flow</t>
  </si>
  <si>
    <t>Součet</t>
  </si>
  <si>
    <t>param</t>
  </si>
  <si>
    <t>kol</t>
  </si>
  <si>
    <t>Vlastní zdroje</t>
  </si>
  <si>
    <t>Profit Retail s.r.o.</t>
  </si>
  <si>
    <t>(+)</t>
  </si>
  <si>
    <t>Equity 1</t>
  </si>
  <si>
    <t>Equity 2</t>
  </si>
  <si>
    <t>Equity 3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</si>
  <si>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</si>
  <si>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</si>
  <si>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</si>
  <si>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</si>
  <si>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</si>
  <si>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</si>
  <si>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</si>
  <si>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</si>
  <si>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</si>
  <si>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</si>
  <si>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</si>
  <si>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</si>
  <si>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</si>
  <si>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</si>
  <si>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</si>
  <si>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</si>
  <si>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</si>
  <si>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</si>
  <si>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B. Architecture &amp; Engineering</t>
  </si>
  <si>
    <t>Projekt , architekt</t>
  </si>
  <si>
    <t>Engineering</t>
  </si>
  <si>
    <t>C. Constructions costs</t>
  </si>
  <si>
    <t>Náklady na realizace stavby (Shell and core)</t>
  </si>
  <si>
    <t>Bourací práce</t>
  </si>
  <si>
    <t>Rekonstrukční náklady</t>
  </si>
  <si>
    <t>Náklady na inženýrské sítě</t>
  </si>
  <si>
    <t>Operativní náklady spojené s realizaci stavby</t>
  </si>
  <si>
    <t>TDI / BOZP</t>
  </si>
  <si>
    <t>Rezerva</t>
  </si>
  <si>
    <t>D. Tenant improvements</t>
  </si>
  <si>
    <t>Tenant improvement</t>
  </si>
  <si>
    <t>Tenant contribution</t>
  </si>
  <si>
    <t>E. Soft costs</t>
  </si>
  <si>
    <t>Project management (Interní)</t>
  </si>
  <si>
    <t>Project management (Externí)</t>
  </si>
  <si>
    <t>Cost manager</t>
  </si>
  <si>
    <t>Koordinátor BOZP</t>
  </si>
  <si>
    <t>Administrativní náklady</t>
  </si>
  <si>
    <t>Ostatní náklady</t>
  </si>
  <si>
    <t>Právní služby</t>
  </si>
  <si>
    <t>Marketing</t>
  </si>
  <si>
    <t>Letting fee</t>
  </si>
  <si>
    <t>F. Financial costs</t>
  </si>
  <si>
    <t>Poplatky za zpracování úvěru</t>
  </si>
  <si>
    <t>Poplatek financování</t>
  </si>
  <si>
    <t>Úrokové náklady</t>
  </si>
  <si>
    <t>Bankovní poplatky</t>
  </si>
  <si>
    <t>Daně</t>
  </si>
  <si>
    <t>F1.Interest</t>
  </si>
  <si>
    <t>Splátka úroku Lekvi Development s.r.o.</t>
  </si>
  <si>
    <t>Splátka úroku Equity 1</t>
  </si>
  <si>
    <t>Splátka úroku Equity 2</t>
  </si>
  <si>
    <t>Splátka úroku Equity 3</t>
  </si>
  <si>
    <t>Splátka úroku Mezanin</t>
  </si>
  <si>
    <t>Splátka úroku Business Angel (p.m.)</t>
  </si>
  <si>
    <t>Splátka úroku Banka</t>
  </si>
  <si>
    <t>Operational expenditures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</si>
  <si>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</si>
  <si>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</si>
  <si>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</si>
  <si>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</si>
  <si>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</si>
  <si>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</si>
  <si>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</si>
  <si>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</si>
  <si>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Equity 1</t>
  </si>
  <si>
    <t>Splátka jistiny Equity 2</t>
  </si>
  <si>
    <t>Splátka jistiny Equity 3</t>
  </si>
  <si>
    <t>Splátka jistiny Business Angel</t>
  </si>
  <si>
    <t>Splátka jistiny Mezanin</t>
  </si>
  <si>
    <t>Splátka jistiny Banka</t>
  </si>
  <si>
    <t>Celkové výdaje</t>
  </si>
  <si>
    <t>Celkové Agregované výdaje</t>
  </si>
  <si>
    <t xml:space="preserve">Vysledek cash -flow </t>
  </si>
  <si>
    <t>Stav na BÚ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</si>
  <si>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</si>
  <si>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</si>
  <si>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IRR</t>
  </si>
  <si>
    <t>CF Development Fee</t>
  </si>
  <si>
    <t>Penežní tok Lekvi</t>
  </si>
  <si>
    <t>Sale of receivables</t>
  </si>
  <si>
    <t>Interest</t>
  </si>
  <si>
    <t>Profit</t>
  </si>
  <si>
    <t>Motivace od výnosu</t>
  </si>
  <si>
    <t>Penežní tok TOTAL</t>
  </si>
  <si>
    <t>Investice - úvěr</t>
  </si>
  <si>
    <t>Celkem Investice</t>
  </si>
  <si>
    <t>Celkem Výnos</t>
  </si>
  <si>
    <t>ROI</t>
  </si>
  <si>
    <t>Penežní tok Equity 1</t>
  </si>
  <si>
    <t>Purchase of receivables</t>
  </si>
  <si>
    <t>Saldo</t>
  </si>
  <si>
    <t>Investice - podíl</t>
  </si>
  <si>
    <t>Penežní tok Equity 2</t>
  </si>
  <si>
    <t>Penežní tok Equity 3</t>
  </si>
  <si>
    <t>Loan &amp; Interest Lekvi Development s.r.o.</t>
  </si>
  <si>
    <t xml:space="preserve">Loan &amp; Interest Equity 1 </t>
  </si>
  <si>
    <t>Loan &amp; Interest Equity 2</t>
  </si>
  <si>
    <t>Loan &amp; Interest Equity 3</t>
  </si>
  <si>
    <t>Month</t>
  </si>
  <si>
    <t>△ of loan</t>
  </si>
  <si>
    <t>Interests</t>
  </si>
  <si>
    <t>LD s.r.o.</t>
  </si>
  <si>
    <t>Equity partners (Gora, PGS, NANO)</t>
  </si>
  <si>
    <t>Current expenses</t>
  </si>
  <si>
    <t>Total expenses</t>
  </si>
  <si>
    <t>Lekvi Development s.r.o.</t>
  </si>
  <si>
    <t>NanoProjekt-10 s.r.o.</t>
  </si>
  <si>
    <t>GORA-N RETAIL s.r.o.</t>
  </si>
  <si>
    <t>PGS-INVEST R s.r.o.</t>
  </si>
  <si>
    <t>Úvěr Mezanin 1</t>
  </si>
  <si>
    <t>Úvěr Mezanin 2</t>
  </si>
  <si>
    <t>Úvěr Business Angel 1</t>
  </si>
  <si>
    <t>Úvěr Business Angel 2</t>
  </si>
  <si>
    <t>Splátka úroku Mezanin 1</t>
  </si>
  <si>
    <t>Splátka úroku Mezanin 2</t>
  </si>
  <si>
    <t>Splátka úroku Business Angel 1</t>
  </si>
  <si>
    <t>Splátka úroku Business Angel 2</t>
  </si>
  <si>
    <t>Splátka jistiny Mezanin 1</t>
  </si>
  <si>
    <t>Splátka jistiny Mezanin 2</t>
  </si>
  <si>
    <t>Splátka jistiny Business Angel 1</t>
  </si>
  <si>
    <t>Splátka jistiny Business Angel 2</t>
  </si>
  <si>
    <t xml:space="preserve">Vysledek  EQUITY cash -flow </t>
  </si>
  <si>
    <t>Vysledek CASHFLOW</t>
  </si>
  <si>
    <t>Investservis</t>
  </si>
  <si>
    <t>Max plocha</t>
  </si>
  <si>
    <t>cost management VŘ GP</t>
  </si>
  <si>
    <t>cost management VŘ GD</t>
  </si>
  <si>
    <t>realizace cost management controling/měsíc</t>
  </si>
  <si>
    <t>kooBOZP/měsíc/realizace/ příprava</t>
  </si>
  <si>
    <t>projekt do 2000m2/zast.plocha</t>
  </si>
  <si>
    <t>projekt do 4000m2/zas. plocha</t>
  </si>
  <si>
    <t>projekt do 6000m2/zast.plocha</t>
  </si>
  <si>
    <t>projekt nad 6000m2/zast.plocha</t>
  </si>
  <si>
    <t>PROJEKT: OC : prodej SPV (vystavba)</t>
  </si>
  <si>
    <t>Právo stavby do SP</t>
  </si>
  <si>
    <t>Kč celkem bez SF</t>
  </si>
  <si>
    <t>Pozemek</t>
  </si>
  <si>
    <t>Provize</t>
  </si>
  <si>
    <t xml:space="preserve">Stavebně - konstrukční náklady </t>
  </si>
  <si>
    <t>Fit-out</t>
  </si>
  <si>
    <t xml:space="preserve">Vynucené investice  </t>
  </si>
  <si>
    <t>Právo stavby</t>
  </si>
  <si>
    <t>Ostatní (přípojky)</t>
  </si>
  <si>
    <t>Demolice</t>
  </si>
  <si>
    <t>Reziduální hodnota pozemku</t>
  </si>
  <si>
    <t xml:space="preserve">Rezerva </t>
  </si>
  <si>
    <t>Marže na nákladech stávby %</t>
  </si>
  <si>
    <t>Marže na nákladech stávby  Kč</t>
  </si>
  <si>
    <t xml:space="preserve">Honoráře spojené s projektem </t>
  </si>
  <si>
    <t xml:space="preserve">Prodejni cena retail </t>
  </si>
  <si>
    <t xml:space="preserve">JC 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</si>
  <si>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</si>
  <si>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</si>
  <si>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</si>
  <si>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 xml:space="preserve">kpl 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</si>
  <si>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</si>
  <si>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</si>
  <si>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</si>
  <si>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</si>
  <si>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</si>
  <si>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Inženýring - ÚR, SP, kolaudace</t>
  </si>
  <si>
    <t>Privátní equita pozemek</t>
  </si>
  <si>
    <t>p.a.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</si>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</sst>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64" formatCode="#,##0.0[$€]"/>
    <numFmt numFmtId="165" formatCode="#,##0[$ Kč]"/>
    <numFmt numFmtId="166" formatCode="#,##0[$€]"/>
    <numFmt numFmtId="167" formatCode="_-* #,##0.0\ [$Kč-405]_-;\-* #,##0.0\ [$Kč-405]_-;_-* &quot;-&quot;??\ [$Kč-405]_-;_-@"/>
    <numFmt numFmtId="168" formatCode="_-* #,##0.00\ [$Kč-405]_-;\-* #,##0.00\ [$Kč-405]_-;_-* &quot;-&quot;??\ [$Kč-405]_-;_-@"/>
    <numFmt numFmtId="169" formatCode="_-* #,##0\ [$Kč-405]_-;\-* #,##0\ [$Kč-405]_-;_-* &quot;-&quot;??\ [$Kč-405]_-;_-@"/>
    <numFmt numFmtId="170" formatCode="[Black]\ #,##0;[Red]\ \-#,##0"/>
    <numFmt numFmtId="171" formatCode="0.0%"/>
    <numFmt numFmtId="172" formatCode="#,##0_ ;\-#,##0\ "/>
    <numFmt numFmtId="173" formatCode="#,##0.00\ &quot;CZK&quot;"/>
    <numFmt numFmtId="174" formatCode="_-* #,##0.00\ &quot;CZK&quot;_-;\-* #,##0.00\ &quot;CZK&quot;_-;_-* &quot;-&quot;??\ &quot;CZK&quot;_-;_-@"/>
    <numFmt numFmtId="175" formatCode="#,##0.00\ [$Kč-405]"/>
    <numFmt numFmtId="176" formatCode="#,##0.00[$ Kč]"/>
    <numFmt numFmtId="177" formatCode="0.000%"/>
    <numFmt numFmtId="178" formatCode="#,##0\ [$Kč-405]"/>
    <numFmt numFmtId="179" formatCode="dd\.mm\.yyyy"/>
    <numFmt numFmtId="180" formatCode="d\.m\.yyyy"/>
    <numFmt numFmtId="181" formatCode="yyyy&quot; &quot;"/>
    <numFmt numFmtId="182" formatCode="mmm&quot; &quot;"/>
    <numFmt numFmtId="183" formatCode="&quot; &quot;m&quot;. &quot;yyyy"/>
    <numFmt numFmtId="184" formatCode="m\.yyyy"/>
    <numFmt numFmtId="185" formatCode="#,##0\ [$Kč-405];\-#,##0\ [$Kč-405]"/>
    <numFmt numFmtId="186" formatCode="_-* #,##0.00\ [$Kč-405]_-;\-* #,##0.00\ [$Kč-405]_-;_-* &quot;-&quot;??\ [$Kč-405]_-;_-@_-"/>
  </numFmts>
  <fonts count="69">
    <font>
      <sz val="11"/>
      <color theme="1"/>
      <name val="Arial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Calibri"/>
      <family val="2"/>
    </font>
    <font>
      <b/>
      <sz val="12"/>
      <color rgb="FFFF0000"/>
      <name val="Calibri"/>
      <family val="2"/>
    </font>
    <font>
      <i/>
      <sz val="11"/>
      <color theme="1"/>
      <name val="Calibri"/>
      <family val="2"/>
    </font>
    <font>
      <sz val="9"/>
      <color rgb="FFEA9999"/>
      <name val="Calibri"/>
      <family val="2"/>
    </font>
    <font>
      <i/>
      <sz val="10"/>
      <color theme="1"/>
      <name val="Calibri"/>
      <family val="2"/>
    </font>
    <font>
      <sz val="9"/>
      <color rgb="FFFF0000"/>
      <name val="Calibri"/>
      <family val="2"/>
    </font>
    <font>
      <sz val="9"/>
      <color rgb="FF4285F4"/>
      <name val="Arial"/>
      <family val="2"/>
    </font>
    <font>
      <b/>
      <sz val="28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sz val="9"/>
      <color rgb="FF11A9CC"/>
      <name val="&quot;Google Sans Mono&quot;"/>
    </font>
    <font>
      <i/>
      <sz val="9"/>
      <color theme="1"/>
      <name val="Calibri"/>
      <family val="2"/>
    </font>
    <font>
      <sz val="9"/>
      <color rgb="FF000000"/>
      <name val="Arial"/>
      <family val="2"/>
    </font>
    <font>
      <b/>
      <sz val="11"/>
      <color rgb="FF1F1F1F"/>
      <name val="&quot;Google Sans&quot;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&quot;Times New Roman&quot;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&quot;Times New Roman&quot;"/>
    </font>
    <font>
      <sz val="12"/>
      <color rgb="FFFFFFFF"/>
      <name val="Calibri"/>
      <family val="2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sz val="11"/>
      <color rgb="FF244061"/>
      <name val="Arial"/>
      <family val="2"/>
    </font>
    <font>
      <b/>
      <sz val="13"/>
      <color theme="1"/>
      <name val="Calibri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3"/>
      <color rgb="FFFF0000"/>
      <name val="Calibri"/>
      <family val="2"/>
    </font>
    <font>
      <i/>
      <sz val="9"/>
      <color theme="1"/>
      <name val="Arial"/>
      <family val="2"/>
    </font>
    <font>
      <sz val="11"/>
      <color rgb="FFFFFFFF"/>
      <name val="Arial"/>
      <family val="2"/>
      <scheme val="minor"/>
    </font>
    <font>
      <sz val="10"/>
      <color rgb="FFFFFFFF"/>
      <name val="Arial"/>
      <family val="2"/>
      <scheme val="minor"/>
    </font>
    <font>
      <sz val="11"/>
      <color rgb="FF999999"/>
      <name val="Arial"/>
      <family val="2"/>
      <scheme val="minor"/>
    </font>
    <font>
      <i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F9900"/>
        <bgColor rgb="FFFF990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E36C09"/>
        <bgColor rgb="FFE36C09"/>
      </patternFill>
    </fill>
    <fill>
      <patternFill patternType="solid">
        <fgColor rgb="FFEFEFEF"/>
        <bgColor rgb="FFEFEFEF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FFF2CC"/>
        <bgColor rgb="FFFFF2CC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A4C2F4"/>
        <bgColor rgb="FFA4C2F4"/>
      </patternFill>
    </fill>
    <fill>
      <patternFill patternType="solid">
        <fgColor rgb="FF00B050"/>
        <bgColor rgb="FF00B050"/>
      </patternFill>
    </fill>
    <fill>
      <patternFill patternType="solid">
        <fgColor rgb="FFFFE599"/>
        <bgColor rgb="FFFFE599"/>
      </patternFill>
    </fill>
  </fills>
  <borders count="10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hair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/>
      <top style="thick">
        <color rgb="FF000000"/>
      </top>
      <bottom style="hair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hair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hair">
        <color rgb="FF000000"/>
      </right>
      <top style="thick">
        <color rgb="FF000000"/>
      </top>
      <bottom style="hair">
        <color rgb="FF000000"/>
      </bottom>
      <diagonal/>
    </border>
    <border>
      <left/>
      <right style="hair">
        <color rgb="FF000000"/>
      </right>
      <top style="thick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81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1" xfId="0" applyFont="1" applyBorder="1" applyAlignment="1">
      <alignment horizontal="right"/>
    </xf>
    <xf numFmtId="164" fontId="2" fillId="0" borderId="2" xfId="0" applyNumberFormat="1" applyFont="1" applyBorder="1"/>
    <xf numFmtId="164" fontId="2" fillId="0" borderId="1" xfId="0" applyNumberFormat="1" applyFont="1" applyBorder="1" applyAlignment="1">
      <alignment horizontal="right"/>
    </xf>
    <xf numFmtId="165" fontId="2" fillId="0" borderId="2" xfId="0" applyNumberFormat="1" applyFont="1" applyBorder="1" applyAlignment="1">
      <alignment horizontal="right"/>
    </xf>
    <xf numFmtId="165" fontId="2" fillId="0" borderId="1" xfId="0" applyNumberFormat="1" applyFont="1" applyBorder="1" applyAlignment="1">
      <alignment horizontal="right"/>
    </xf>
    <xf numFmtId="0" fontId="2" fillId="0" borderId="3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right"/>
    </xf>
    <xf numFmtId="164" fontId="2" fillId="0" borderId="4" xfId="0" applyNumberFormat="1" applyFont="1" applyBorder="1"/>
    <xf numFmtId="164" fontId="2" fillId="0" borderId="3" xfId="0" applyNumberFormat="1" applyFont="1" applyBorder="1" applyAlignment="1">
      <alignment horizontal="right"/>
    </xf>
    <xf numFmtId="165" fontId="2" fillId="0" borderId="4" xfId="0" applyNumberFormat="1" applyFont="1" applyBorder="1" applyAlignment="1">
      <alignment horizontal="right"/>
    </xf>
    <xf numFmtId="0" fontId="3" fillId="3" borderId="3" xfId="0" applyFont="1" applyFill="1" applyBorder="1" applyAlignment="1">
      <alignment horizontal="right"/>
    </xf>
    <xf numFmtId="164" fontId="2" fillId="0" borderId="3" xfId="0" applyNumberFormat="1" applyFont="1" applyBorder="1"/>
    <xf numFmtId="165" fontId="3" fillId="3" borderId="2" xfId="0" applyNumberFormat="1" applyFont="1" applyFill="1" applyBorder="1" applyAlignment="1">
      <alignment horizontal="right"/>
    </xf>
    <xf numFmtId="165" fontId="3" fillId="3" borderId="4" xfId="0" applyNumberFormat="1" applyFont="1" applyFill="1" applyBorder="1" applyAlignment="1">
      <alignment horizontal="right"/>
    </xf>
    <xf numFmtId="1" fontId="2" fillId="0" borderId="3" xfId="0" applyNumberFormat="1" applyFont="1" applyBorder="1"/>
    <xf numFmtId="166" fontId="2" fillId="0" borderId="4" xfId="0" applyNumberFormat="1" applyFont="1" applyBorder="1"/>
    <xf numFmtId="0" fontId="1" fillId="0" borderId="1" xfId="0" applyFont="1" applyBorder="1" applyAlignment="1">
      <alignment horizontal="center"/>
    </xf>
    <xf numFmtId="165" fontId="2" fillId="0" borderId="2" xfId="0" applyNumberFormat="1" applyFont="1" applyBorder="1"/>
    <xf numFmtId="0" fontId="1" fillId="0" borderId="1" xfId="0" applyFont="1" applyBorder="1"/>
    <xf numFmtId="165" fontId="1" fillId="4" borderId="1" xfId="0" applyNumberFormat="1" applyFont="1" applyFill="1" applyBorder="1" applyAlignment="1">
      <alignment horizontal="right"/>
    </xf>
    <xf numFmtId="9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7" fontId="8" fillId="0" borderId="0" xfId="0" applyNumberFormat="1" applyFont="1" applyAlignment="1">
      <alignment vertical="center"/>
    </xf>
    <xf numFmtId="16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68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167" fontId="6" fillId="0" borderId="0" xfId="0" applyNumberFormat="1" applyFont="1" applyAlignment="1">
      <alignment vertical="center"/>
    </xf>
    <xf numFmtId="0" fontId="12" fillId="0" borderId="6" xfId="0" applyFont="1" applyBorder="1" applyAlignment="1">
      <alignment horizontal="center" vertical="center"/>
    </xf>
    <xf numFmtId="168" fontId="6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3" fontId="13" fillId="0" borderId="8" xfId="0" applyNumberFormat="1" applyFont="1" applyBorder="1" applyAlignment="1">
      <alignment horizontal="center" vertical="center"/>
    </xf>
    <xf numFmtId="167" fontId="13" fillId="0" borderId="8" xfId="0" applyNumberFormat="1" applyFont="1" applyBorder="1" applyAlignment="1">
      <alignment horizontal="center" vertical="center"/>
    </xf>
    <xf numFmtId="168" fontId="6" fillId="0" borderId="9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67" fontId="13" fillId="0" borderId="9" xfId="0" applyNumberFormat="1" applyFont="1" applyBorder="1" applyAlignment="1">
      <alignment horizontal="center" vertical="center"/>
    </xf>
    <xf numFmtId="0" fontId="14" fillId="0" borderId="11" xfId="0" applyFont="1" applyBorder="1"/>
    <xf numFmtId="0" fontId="14" fillId="0" borderId="12" xfId="0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center" vertical="center"/>
    </xf>
    <xf numFmtId="169" fontId="6" fillId="7" borderId="14" xfId="0" applyNumberFormat="1" applyFont="1" applyFill="1" applyBorder="1" applyAlignment="1">
      <alignment vertical="center"/>
    </xf>
    <xf numFmtId="169" fontId="6" fillId="7" borderId="15" xfId="0" applyNumberFormat="1" applyFont="1" applyFill="1" applyBorder="1" applyAlignment="1">
      <alignment vertical="center"/>
    </xf>
    <xf numFmtId="169" fontId="9" fillId="0" borderId="6" xfId="0" applyNumberFormat="1" applyFont="1" applyBorder="1" applyAlignment="1">
      <alignment horizontal="center" vertical="center"/>
    </xf>
    <xf numFmtId="0" fontId="14" fillId="0" borderId="16" xfId="0" applyFont="1" applyBorder="1"/>
    <xf numFmtId="0" fontId="14" fillId="0" borderId="1" xfId="0" applyFont="1" applyBorder="1" applyAlignment="1">
      <alignment horizontal="center" vertical="center"/>
    </xf>
    <xf numFmtId="169" fontId="15" fillId="7" borderId="1" xfId="0" applyNumberFormat="1" applyFont="1" applyFill="1" applyBorder="1" applyAlignment="1">
      <alignment vertical="center"/>
    </xf>
    <xf numFmtId="169" fontId="15" fillId="7" borderId="17" xfId="0" applyNumberFormat="1" applyFont="1" applyFill="1" applyBorder="1" applyAlignment="1">
      <alignment vertical="center"/>
    </xf>
    <xf numFmtId="0" fontId="14" fillId="0" borderId="18" xfId="0" applyFont="1" applyBorder="1"/>
    <xf numFmtId="0" fontId="14" fillId="0" borderId="19" xfId="0" applyFont="1" applyBorder="1" applyAlignment="1">
      <alignment horizontal="center" vertical="center"/>
    </xf>
    <xf numFmtId="169" fontId="16" fillId="0" borderId="13" xfId="0" applyNumberFormat="1" applyFont="1" applyBorder="1" applyAlignment="1">
      <alignment vertical="center"/>
    </xf>
    <xf numFmtId="169" fontId="6" fillId="0" borderId="20" xfId="0" applyNumberFormat="1" applyFont="1" applyBorder="1" applyAlignment="1">
      <alignment horizontal="center" vertical="center"/>
    </xf>
    <xf numFmtId="169" fontId="9" fillId="0" borderId="6" xfId="0" applyNumberFormat="1" applyFont="1" applyBorder="1" applyAlignment="1">
      <alignment vertical="center"/>
    </xf>
    <xf numFmtId="0" fontId="15" fillId="0" borderId="17" xfId="0" applyFont="1" applyBorder="1" applyAlignment="1">
      <alignment horizontal="center" vertical="center"/>
    </xf>
    <xf numFmtId="0" fontId="17" fillId="0" borderId="18" xfId="0" applyFont="1" applyBorder="1"/>
    <xf numFmtId="0" fontId="14" fillId="0" borderId="17" xfId="0" applyFont="1" applyBorder="1" applyAlignment="1">
      <alignment horizontal="center" vertical="center"/>
    </xf>
    <xf numFmtId="9" fontId="6" fillId="0" borderId="13" xfId="0" applyNumberFormat="1" applyFont="1" applyBorder="1" applyAlignment="1">
      <alignment horizontal="center" vertical="center"/>
    </xf>
    <xf numFmtId="169" fontId="15" fillId="0" borderId="6" xfId="0" applyNumberFormat="1" applyFont="1" applyBorder="1" applyAlignment="1">
      <alignment horizontal="center" vertical="center"/>
    </xf>
    <xf numFmtId="0" fontId="14" fillId="0" borderId="21" xfId="0" applyFont="1" applyBorder="1"/>
    <xf numFmtId="0" fontId="15" fillId="0" borderId="22" xfId="0" applyFont="1" applyBorder="1" applyAlignment="1">
      <alignment horizontal="center" vertical="center"/>
    </xf>
    <xf numFmtId="0" fontId="15" fillId="5" borderId="23" xfId="0" applyFont="1" applyFill="1" applyBorder="1" applyAlignment="1">
      <alignment vertical="center"/>
    </xf>
    <xf numFmtId="169" fontId="9" fillId="0" borderId="6" xfId="0" applyNumberFormat="1" applyFont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left" vertical="center"/>
    </xf>
    <xf numFmtId="1" fontId="7" fillId="6" borderId="26" xfId="0" applyNumberFormat="1" applyFont="1" applyFill="1" applyBorder="1" applyAlignment="1">
      <alignment horizontal="center" vertical="center"/>
    </xf>
    <xf numFmtId="0" fontId="18" fillId="0" borderId="0" xfId="0" applyFont="1"/>
    <xf numFmtId="169" fontId="18" fillId="0" borderId="0" xfId="0" applyNumberFormat="1" applyFont="1"/>
    <xf numFmtId="0" fontId="9" fillId="0" borderId="23" xfId="0" applyFont="1" applyBorder="1" applyAlignment="1">
      <alignment horizontal="left" vertical="center"/>
    </xf>
    <xf numFmtId="4" fontId="6" fillId="0" borderId="27" xfId="0" applyNumberFormat="1" applyFont="1" applyBorder="1" applyAlignment="1">
      <alignment horizontal="center" vertical="center"/>
    </xf>
    <xf numFmtId="3" fontId="6" fillId="0" borderId="27" xfId="0" applyNumberFormat="1" applyFont="1" applyBorder="1" applyAlignment="1">
      <alignment horizontal="center" vertical="center"/>
    </xf>
    <xf numFmtId="169" fontId="6" fillId="0" borderId="27" xfId="0" applyNumberFormat="1" applyFont="1" applyBorder="1" applyAlignment="1">
      <alignment horizontal="center" vertical="center"/>
    </xf>
    <xf numFmtId="169" fontId="6" fillId="0" borderId="27" xfId="0" applyNumberFormat="1" applyFont="1" applyBorder="1" applyAlignment="1">
      <alignment vertical="center"/>
    </xf>
    <xf numFmtId="169" fontId="6" fillId="0" borderId="28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7" fillId="6" borderId="29" xfId="0" applyFont="1" applyFill="1" applyBorder="1" applyAlignment="1">
      <alignment horizontal="left" vertical="center"/>
    </xf>
    <xf numFmtId="0" fontId="15" fillId="0" borderId="16" xfId="0" applyFont="1" applyBorder="1" applyAlignment="1">
      <alignment vertical="center"/>
    </xf>
    <xf numFmtId="171" fontId="15" fillId="0" borderId="30" xfId="0" applyNumberFormat="1" applyFont="1" applyBorder="1" applyAlignment="1">
      <alignment horizontal="right"/>
    </xf>
    <xf numFmtId="170" fontId="6" fillId="7" borderId="31" xfId="0" applyNumberFormat="1" applyFont="1" applyFill="1" applyBorder="1" applyAlignment="1">
      <alignment vertical="center" wrapText="1"/>
    </xf>
    <xf numFmtId="172" fontId="6" fillId="7" borderId="14" xfId="0" applyNumberFormat="1" applyFont="1" applyFill="1" applyBorder="1" applyAlignment="1">
      <alignment horizontal="center" vertical="center"/>
    </xf>
    <xf numFmtId="169" fontId="6" fillId="7" borderId="14" xfId="0" applyNumberFormat="1" applyFont="1" applyFill="1" applyBorder="1" applyAlignment="1">
      <alignment horizontal="center" vertical="center"/>
    </xf>
    <xf numFmtId="9" fontId="19" fillId="0" borderId="14" xfId="0" applyNumberFormat="1" applyFont="1" applyBorder="1" applyAlignment="1">
      <alignment vertical="center"/>
    </xf>
    <xf numFmtId="169" fontId="9" fillId="7" borderId="15" xfId="0" applyNumberFormat="1" applyFont="1" applyFill="1" applyBorder="1" applyAlignment="1">
      <alignment horizontal="center" vertical="center"/>
    </xf>
    <xf numFmtId="169" fontId="6" fillId="0" borderId="6" xfId="0" applyNumberFormat="1" applyFont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3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7" fontId="6" fillId="0" borderId="3" xfId="0" applyNumberFormat="1" applyFont="1" applyBorder="1" applyAlignment="1">
      <alignment vertical="center"/>
    </xf>
    <xf numFmtId="10" fontId="15" fillId="0" borderId="19" xfId="0" applyNumberFormat="1" applyFont="1" applyBorder="1" applyAlignment="1">
      <alignment horizontal="center" vertical="center"/>
    </xf>
    <xf numFmtId="0" fontId="15" fillId="0" borderId="18" xfId="0" applyFont="1" applyBorder="1"/>
    <xf numFmtId="169" fontId="15" fillId="0" borderId="30" xfId="0" applyNumberFormat="1" applyFont="1" applyBorder="1" applyAlignment="1">
      <alignment horizontal="center"/>
    </xf>
    <xf numFmtId="0" fontId="20" fillId="0" borderId="18" xfId="0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vertical="center"/>
    </xf>
    <xf numFmtId="2" fontId="15" fillId="0" borderId="19" xfId="0" applyNumberFormat="1" applyFont="1" applyBorder="1" applyAlignment="1">
      <alignment horizontal="center" vertical="center"/>
    </xf>
    <xf numFmtId="169" fontId="6" fillId="0" borderId="1" xfId="0" applyNumberFormat="1" applyFont="1" applyBorder="1" applyAlignment="1">
      <alignment vertical="center"/>
    </xf>
    <xf numFmtId="169" fontId="15" fillId="0" borderId="17" xfId="0" applyNumberFormat="1" applyFont="1" applyBorder="1" applyAlignment="1">
      <alignment horizontal="center" vertical="center"/>
    </xf>
    <xf numFmtId="173" fontId="15" fillId="0" borderId="32" xfId="0" applyNumberFormat="1" applyFont="1" applyBorder="1" applyAlignment="1">
      <alignment horizontal="right" vertical="center"/>
    </xf>
    <xf numFmtId="170" fontId="6" fillId="7" borderId="33" xfId="0" applyNumberFormat="1" applyFont="1" applyFill="1" applyBorder="1" applyAlignment="1">
      <alignment vertical="center" wrapText="1"/>
    </xf>
    <xf numFmtId="10" fontId="6" fillId="0" borderId="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67" fontId="6" fillId="0" borderId="1" xfId="0" applyNumberFormat="1" applyFont="1" applyBorder="1" applyAlignment="1">
      <alignment vertical="center"/>
    </xf>
    <xf numFmtId="10" fontId="15" fillId="0" borderId="17" xfId="0" applyNumberFormat="1" applyFont="1" applyBorder="1" applyAlignment="1">
      <alignment horizontal="center" vertical="center"/>
    </xf>
    <xf numFmtId="0" fontId="15" fillId="0" borderId="34" xfId="0" applyFont="1" applyBorder="1"/>
    <xf numFmtId="173" fontId="15" fillId="0" borderId="22" xfId="0" applyNumberFormat="1" applyFont="1" applyBorder="1" applyAlignment="1">
      <alignment horizontal="right" vertical="center"/>
    </xf>
    <xf numFmtId="0" fontId="20" fillId="0" borderId="21" xfId="0" applyFont="1" applyBorder="1" applyAlignment="1">
      <alignment horizontal="left" vertical="center"/>
    </xf>
    <xf numFmtId="3" fontId="6" fillId="0" borderId="35" xfId="0" applyNumberFormat="1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167" fontId="6" fillId="0" borderId="35" xfId="0" applyNumberFormat="1" applyFont="1" applyBorder="1" applyAlignment="1">
      <alignment vertical="center"/>
    </xf>
    <xf numFmtId="10" fontId="15" fillId="0" borderId="22" xfId="0" applyNumberFormat="1" applyFont="1" applyBorder="1" applyAlignment="1">
      <alignment horizontal="center" vertical="center"/>
    </xf>
    <xf numFmtId="173" fontId="7" fillId="6" borderId="36" xfId="0" applyNumberFormat="1" applyFont="1" applyFill="1" applyBorder="1" applyAlignment="1">
      <alignment horizontal="right" vertical="center"/>
    </xf>
    <xf numFmtId="0" fontId="20" fillId="0" borderId="37" xfId="0" applyFont="1" applyBorder="1" applyAlignment="1">
      <alignment horizontal="left" vertical="center"/>
    </xf>
    <xf numFmtId="3" fontId="6" fillId="0" borderId="38" xfId="0" applyNumberFormat="1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9" fontId="6" fillId="0" borderId="38" xfId="0" applyNumberFormat="1" applyFont="1" applyBorder="1" applyAlignment="1">
      <alignment vertical="center"/>
    </xf>
    <xf numFmtId="9" fontId="6" fillId="0" borderId="0" xfId="0" applyNumberFormat="1" applyFont="1" applyAlignment="1">
      <alignment vertical="center"/>
    </xf>
    <xf numFmtId="169" fontId="9" fillId="0" borderId="28" xfId="0" applyNumberFormat="1" applyFont="1" applyBorder="1" applyAlignment="1">
      <alignment horizontal="right" vertical="center"/>
    </xf>
    <xf numFmtId="0" fontId="7" fillId="9" borderId="37" xfId="0" applyFont="1" applyFill="1" applyBorder="1" applyAlignment="1">
      <alignment horizontal="left" vertical="center"/>
    </xf>
    <xf numFmtId="0" fontId="15" fillId="0" borderId="18" xfId="0" applyFont="1" applyBorder="1" applyAlignment="1">
      <alignment vertical="center"/>
    </xf>
    <xf numFmtId="171" fontId="15" fillId="0" borderId="12" xfId="0" applyNumberFormat="1" applyFont="1" applyBorder="1" applyAlignment="1">
      <alignment horizontal="right" vertical="center"/>
    </xf>
    <xf numFmtId="169" fontId="15" fillId="0" borderId="19" xfId="0" applyNumberFormat="1" applyFont="1" applyBorder="1" applyAlignment="1">
      <alignment horizontal="center" vertical="center"/>
    </xf>
    <xf numFmtId="0" fontId="21" fillId="7" borderId="31" xfId="0" applyFont="1" applyFill="1" applyBorder="1" applyAlignment="1">
      <alignment horizontal="right" vertical="center" wrapText="1"/>
    </xf>
    <xf numFmtId="169" fontId="23" fillId="7" borderId="15" xfId="0" applyNumberFormat="1" applyFont="1" applyFill="1" applyBorder="1" applyAlignment="1">
      <alignment vertical="center"/>
    </xf>
    <xf numFmtId="0" fontId="7" fillId="6" borderId="40" xfId="0" applyFont="1" applyFill="1" applyBorder="1" applyAlignment="1">
      <alignment horizontal="left" vertical="center"/>
    </xf>
    <xf numFmtId="0" fontId="15" fillId="0" borderId="41" xfId="0" applyFont="1" applyBorder="1" applyAlignment="1">
      <alignment vertical="center"/>
    </xf>
    <xf numFmtId="3" fontId="25" fillId="10" borderId="0" xfId="0" applyNumberFormat="1" applyFont="1" applyFill="1"/>
    <xf numFmtId="0" fontId="15" fillId="0" borderId="21" xfId="0" applyFont="1" applyBorder="1" applyAlignment="1">
      <alignment vertical="center"/>
    </xf>
    <xf numFmtId="0" fontId="7" fillId="6" borderId="23" xfId="0" applyFont="1" applyFill="1" applyBorder="1" applyAlignment="1">
      <alignment horizontal="left" vertical="center"/>
    </xf>
    <xf numFmtId="0" fontId="12" fillId="0" borderId="42" xfId="0" applyFont="1" applyBorder="1" applyAlignment="1">
      <alignment vertical="center"/>
    </xf>
    <xf numFmtId="0" fontId="12" fillId="0" borderId="43" xfId="0" applyFont="1" applyBorder="1" applyAlignment="1">
      <alignment vertical="center"/>
    </xf>
    <xf numFmtId="0" fontId="12" fillId="0" borderId="44" xfId="0" applyFont="1" applyBorder="1" applyAlignment="1">
      <alignment vertical="center"/>
    </xf>
    <xf numFmtId="171" fontId="6" fillId="7" borderId="14" xfId="0" applyNumberFormat="1" applyFont="1" applyFill="1" applyBorder="1" applyAlignment="1">
      <alignment horizontal="center" vertical="center"/>
    </xf>
    <xf numFmtId="0" fontId="6" fillId="0" borderId="45" xfId="0" applyFont="1" applyBorder="1" applyAlignment="1">
      <alignment vertical="center"/>
    </xf>
    <xf numFmtId="170" fontId="15" fillId="0" borderId="11" xfId="0" applyNumberFormat="1" applyFont="1" applyBorder="1" applyAlignment="1">
      <alignment vertical="center"/>
    </xf>
    <xf numFmtId="174" fontId="15" fillId="0" borderId="12" xfId="0" applyNumberFormat="1" applyFont="1" applyBorder="1" applyAlignment="1">
      <alignment horizontal="right" vertical="center"/>
    </xf>
    <xf numFmtId="0" fontId="6" fillId="7" borderId="14" xfId="0" applyFont="1" applyFill="1" applyBorder="1" applyAlignment="1">
      <alignment horizontal="center" vertical="center"/>
    </xf>
    <xf numFmtId="10" fontId="16" fillId="0" borderId="14" xfId="0" applyNumberFormat="1" applyFont="1" applyBorder="1" applyAlignment="1">
      <alignment vertical="center"/>
    </xf>
    <xf numFmtId="169" fontId="27" fillId="0" borderId="37" xfId="0" applyNumberFormat="1" applyFont="1" applyBorder="1" applyAlignment="1">
      <alignment vertical="center"/>
    </xf>
    <xf numFmtId="169" fontId="28" fillId="0" borderId="38" xfId="0" applyNumberFormat="1" applyFont="1" applyBorder="1" applyAlignment="1">
      <alignment vertical="center"/>
    </xf>
    <xf numFmtId="169" fontId="6" fillId="0" borderId="38" xfId="0" applyNumberFormat="1" applyFont="1" applyBorder="1" applyAlignment="1">
      <alignment vertical="center"/>
    </xf>
    <xf numFmtId="10" fontId="15" fillId="0" borderId="19" xfId="0" applyNumberFormat="1" applyFont="1" applyBorder="1" applyAlignment="1">
      <alignment horizontal="right" vertical="center"/>
    </xf>
    <xf numFmtId="168" fontId="15" fillId="0" borderId="17" xfId="0" applyNumberFormat="1" applyFont="1" applyBorder="1" applyAlignment="1">
      <alignment horizontal="center" vertical="center"/>
    </xf>
    <xf numFmtId="169" fontId="30" fillId="0" borderId="37" xfId="0" applyNumberFormat="1" applyFont="1" applyBorder="1" applyAlignment="1">
      <alignment vertical="center"/>
    </xf>
    <xf numFmtId="169" fontId="31" fillId="0" borderId="38" xfId="0" applyNumberFormat="1" applyFont="1" applyBorder="1" applyAlignment="1">
      <alignment vertical="center"/>
    </xf>
    <xf numFmtId="170" fontId="15" fillId="0" borderId="21" xfId="0" applyNumberFormat="1" applyFont="1" applyBorder="1" applyAlignment="1">
      <alignment vertical="center"/>
    </xf>
    <xf numFmtId="175" fontId="6" fillId="0" borderId="0" xfId="0" applyNumberFormat="1" applyFont="1" applyAlignment="1">
      <alignment vertical="center"/>
    </xf>
    <xf numFmtId="169" fontId="32" fillId="0" borderId="0" xfId="0" applyNumberFormat="1" applyFont="1" applyAlignment="1">
      <alignment horizontal="left" vertical="center" wrapText="1"/>
    </xf>
    <xf numFmtId="10" fontId="6" fillId="0" borderId="0" xfId="0" applyNumberFormat="1" applyFont="1" applyAlignment="1">
      <alignment vertical="center"/>
    </xf>
    <xf numFmtId="176" fontId="33" fillId="10" borderId="0" xfId="0" applyNumberFormat="1" applyFont="1" applyFill="1"/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69" fontId="15" fillId="0" borderId="0" xfId="0" applyNumberFormat="1" applyFont="1" applyAlignment="1">
      <alignment horizontal="center" vertical="center"/>
    </xf>
    <xf numFmtId="165" fontId="15" fillId="0" borderId="16" xfId="0" applyNumberFormat="1" applyFont="1" applyBorder="1" applyAlignment="1">
      <alignment horizontal="center" vertical="center" wrapText="1"/>
    </xf>
    <xf numFmtId="10" fontId="15" fillId="0" borderId="46" xfId="0" applyNumberFormat="1" applyFont="1" applyBorder="1" applyAlignment="1">
      <alignment horizontal="center" vertical="center"/>
    </xf>
    <xf numFmtId="10" fontId="15" fillId="0" borderId="47" xfId="0" applyNumberFormat="1" applyFont="1" applyBorder="1" applyAlignment="1">
      <alignment horizontal="center" vertical="center"/>
    </xf>
    <xf numFmtId="4" fontId="6" fillId="0" borderId="0" xfId="0" applyNumberFormat="1" applyFont="1" applyAlignment="1">
      <alignment vertical="center"/>
    </xf>
    <xf numFmtId="165" fontId="15" fillId="0" borderId="21" xfId="0" applyNumberFormat="1" applyFont="1" applyBorder="1" applyAlignment="1">
      <alignment horizontal="center" vertical="center" wrapText="1"/>
    </xf>
    <xf numFmtId="177" fontId="15" fillId="0" borderId="48" xfId="0" applyNumberFormat="1" applyFont="1" applyBorder="1" applyAlignment="1">
      <alignment horizontal="center" vertical="center"/>
    </xf>
    <xf numFmtId="169" fontId="6" fillId="7" borderId="15" xfId="0" applyNumberFormat="1" applyFont="1" applyFill="1" applyBorder="1" applyAlignment="1">
      <alignment horizontal="center" vertical="center"/>
    </xf>
    <xf numFmtId="168" fontId="6" fillId="2" borderId="0" xfId="0" applyNumberFormat="1" applyFont="1" applyFill="1" applyAlignment="1">
      <alignment horizontal="center" vertical="center"/>
    </xf>
    <xf numFmtId="170" fontId="34" fillId="7" borderId="31" xfId="0" applyNumberFormat="1" applyFont="1" applyFill="1" applyBorder="1" applyAlignment="1">
      <alignment horizontal="right" vertical="center" wrapText="1"/>
    </xf>
    <xf numFmtId="0" fontId="35" fillId="10" borderId="0" xfId="0" applyFont="1" applyFill="1"/>
    <xf numFmtId="10" fontId="15" fillId="0" borderId="48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1" fontId="15" fillId="0" borderId="46" xfId="0" applyNumberFormat="1" applyFont="1" applyBorder="1" applyAlignment="1">
      <alignment horizontal="center" vertical="center"/>
    </xf>
    <xf numFmtId="3" fontId="15" fillId="0" borderId="48" xfId="0" applyNumberFormat="1" applyFont="1" applyBorder="1" applyAlignment="1">
      <alignment horizontal="center" vertical="center"/>
    </xf>
    <xf numFmtId="170" fontId="36" fillId="0" borderId="49" xfId="0" applyNumberFormat="1" applyFont="1" applyBorder="1" applyAlignment="1">
      <alignment horizontal="center"/>
    </xf>
    <xf numFmtId="172" fontId="6" fillId="7" borderId="50" xfId="0" applyNumberFormat="1" applyFont="1" applyFill="1" applyBorder="1" applyAlignment="1">
      <alignment horizontal="center" vertical="center"/>
    </xf>
    <xf numFmtId="169" fontId="6" fillId="7" borderId="50" xfId="0" applyNumberFormat="1" applyFont="1" applyFill="1" applyBorder="1" applyAlignment="1">
      <alignment horizontal="center" vertical="center"/>
    </xf>
    <xf numFmtId="10" fontId="16" fillId="0" borderId="50" xfId="0" applyNumberFormat="1" applyFont="1" applyBorder="1" applyAlignment="1">
      <alignment vertical="center"/>
    </xf>
    <xf numFmtId="169" fontId="9" fillId="7" borderId="51" xfId="0" applyNumberFormat="1" applyFont="1" applyFill="1" applyBorder="1" applyAlignment="1">
      <alignment vertical="center"/>
    </xf>
    <xf numFmtId="169" fontId="23" fillId="7" borderId="15" xfId="0" applyNumberFormat="1" applyFont="1" applyFill="1" applyBorder="1" applyAlignment="1">
      <alignment horizontal="right" vertical="center"/>
    </xf>
    <xf numFmtId="0" fontId="37" fillId="0" borderId="42" xfId="0" applyFont="1" applyBorder="1"/>
    <xf numFmtId="3" fontId="37" fillId="0" borderId="43" xfId="0" applyNumberFormat="1" applyFont="1" applyBorder="1"/>
    <xf numFmtId="0" fontId="38" fillId="0" borderId="44" xfId="0" applyFont="1" applyBorder="1" applyAlignment="1">
      <alignment horizontal="center"/>
    </xf>
    <xf numFmtId="167" fontId="38" fillId="0" borderId="0" xfId="0" applyNumberFormat="1" applyFont="1" applyAlignment="1">
      <alignment horizontal="center"/>
    </xf>
    <xf numFmtId="168" fontId="38" fillId="0" borderId="0" xfId="0" applyNumberFormat="1" applyFont="1" applyAlignment="1">
      <alignment horizontal="center"/>
    </xf>
    <xf numFmtId="3" fontId="39" fillId="0" borderId="0" xfId="0" applyNumberFormat="1" applyFont="1"/>
    <xf numFmtId="10" fontId="38" fillId="0" borderId="0" xfId="0" applyNumberFormat="1" applyFont="1" applyAlignment="1">
      <alignment horizontal="right"/>
    </xf>
    <xf numFmtId="0" fontId="37" fillId="0" borderId="37" xfId="0" applyFont="1" applyBorder="1"/>
    <xf numFmtId="10" fontId="37" fillId="0" borderId="38" xfId="0" applyNumberFormat="1" applyFont="1" applyBorder="1" applyAlignment="1">
      <alignment horizontal="right"/>
    </xf>
    <xf numFmtId="0" fontId="7" fillId="12" borderId="23" xfId="0" applyFont="1" applyFill="1" applyBorder="1" applyAlignment="1">
      <alignment vertical="center"/>
    </xf>
    <xf numFmtId="0" fontId="40" fillId="12" borderId="23" xfId="0" applyFont="1" applyFill="1" applyBorder="1" applyAlignment="1">
      <alignment vertical="center"/>
    </xf>
    <xf numFmtId="0" fontId="41" fillId="13" borderId="1" xfId="0" applyFont="1" applyFill="1" applyBorder="1" applyAlignment="1">
      <alignment horizontal="center"/>
    </xf>
    <xf numFmtId="0" fontId="43" fillId="13" borderId="3" xfId="0" applyFont="1" applyFill="1" applyBorder="1" applyAlignment="1">
      <alignment horizontal="center" wrapText="1"/>
    </xf>
    <xf numFmtId="0" fontId="44" fillId="13" borderId="52" xfId="0" applyFont="1" applyFill="1" applyBorder="1" applyAlignment="1">
      <alignment horizontal="center" vertical="center"/>
    </xf>
    <xf numFmtId="0" fontId="45" fillId="13" borderId="3" xfId="0" applyFont="1" applyFill="1" applyBorder="1" applyAlignment="1">
      <alignment horizontal="center" vertical="center"/>
    </xf>
    <xf numFmtId="9" fontId="45" fillId="13" borderId="3" xfId="0" applyNumberFormat="1" applyFont="1" applyFill="1" applyBorder="1" applyAlignment="1">
      <alignment horizontal="center" vertical="center"/>
    </xf>
    <xf numFmtId="0" fontId="45" fillId="13" borderId="1" xfId="0" applyFont="1" applyFill="1" applyBorder="1" applyAlignment="1">
      <alignment horizontal="center" vertical="center"/>
    </xf>
    <xf numFmtId="179" fontId="44" fillId="13" borderId="1" xfId="0" applyNumberFormat="1" applyFont="1" applyFill="1" applyBorder="1" applyAlignment="1">
      <alignment horizontal="center" vertical="center"/>
    </xf>
    <xf numFmtId="0" fontId="44" fillId="13" borderId="1" xfId="0" applyFont="1" applyFill="1" applyBorder="1" applyAlignment="1">
      <alignment horizontal="center" vertical="center"/>
    </xf>
    <xf numFmtId="0" fontId="42" fillId="0" borderId="0" xfId="0" applyFont="1"/>
    <xf numFmtId="0" fontId="43" fillId="13" borderId="3" xfId="0" applyFont="1" applyFill="1" applyBorder="1" applyAlignment="1">
      <alignment horizontal="center"/>
    </xf>
    <xf numFmtId="180" fontId="44" fillId="13" borderId="1" xfId="0" applyNumberFormat="1" applyFont="1" applyFill="1" applyBorder="1" applyAlignment="1">
      <alignment horizontal="center" vertical="center"/>
    </xf>
    <xf numFmtId="0" fontId="44" fillId="13" borderId="1" xfId="0" applyFont="1" applyFill="1" applyBorder="1" applyAlignment="1">
      <alignment horizontal="center" vertical="center" wrapText="1"/>
    </xf>
    <xf numFmtId="0" fontId="46" fillId="0" borderId="0" xfId="0" applyFont="1"/>
    <xf numFmtId="0" fontId="47" fillId="13" borderId="1" xfId="0" applyFont="1" applyFill="1" applyBorder="1" applyAlignment="1">
      <alignment horizontal="center"/>
    </xf>
    <xf numFmtId="179" fontId="47" fillId="13" borderId="53" xfId="0" applyNumberFormat="1" applyFont="1" applyFill="1" applyBorder="1" applyAlignment="1">
      <alignment horizontal="center"/>
    </xf>
    <xf numFmtId="0" fontId="47" fillId="13" borderId="53" xfId="0" applyFont="1" applyFill="1" applyBorder="1" applyAlignment="1">
      <alignment horizontal="center"/>
    </xf>
    <xf numFmtId="175" fontId="47" fillId="13" borderId="53" xfId="0" applyNumberFormat="1" applyFont="1" applyFill="1" applyBorder="1" applyAlignment="1">
      <alignment horizontal="center"/>
    </xf>
    <xf numFmtId="0" fontId="46" fillId="13" borderId="53" xfId="0" applyFont="1" applyFill="1" applyBorder="1"/>
    <xf numFmtId="14" fontId="47" fillId="13" borderId="53" xfId="0" applyNumberFormat="1" applyFont="1" applyFill="1" applyBorder="1" applyAlignment="1">
      <alignment horizontal="center"/>
    </xf>
    <xf numFmtId="169" fontId="48" fillId="0" borderId="0" xfId="0" applyNumberFormat="1" applyFont="1" applyAlignment="1">
      <alignment horizontal="right"/>
    </xf>
    <xf numFmtId="0" fontId="47" fillId="13" borderId="3" xfId="0" applyFont="1" applyFill="1" applyBorder="1" applyAlignment="1">
      <alignment horizontal="center"/>
    </xf>
    <xf numFmtId="0" fontId="47" fillId="13" borderId="4" xfId="0" applyFont="1" applyFill="1" applyBorder="1" applyAlignment="1">
      <alignment horizontal="center"/>
    </xf>
    <xf numFmtId="9" fontId="43" fillId="13" borderId="4" xfId="0" applyNumberFormat="1" applyFont="1" applyFill="1" applyBorder="1" applyAlignment="1">
      <alignment horizontal="center"/>
    </xf>
    <xf numFmtId="175" fontId="43" fillId="13" borderId="4" xfId="0" applyNumberFormat="1" applyFont="1" applyFill="1" applyBorder="1" applyAlignment="1">
      <alignment horizontal="center"/>
    </xf>
    <xf numFmtId="179" fontId="43" fillId="13" borderId="4" xfId="0" applyNumberFormat="1" applyFont="1" applyFill="1" applyBorder="1" applyAlignment="1">
      <alignment horizontal="center"/>
    </xf>
    <xf numFmtId="175" fontId="46" fillId="0" borderId="0" xfId="0" applyNumberFormat="1" applyFont="1"/>
    <xf numFmtId="180" fontId="43" fillId="13" borderId="3" xfId="0" applyNumberFormat="1" applyFont="1" applyFill="1" applyBorder="1" applyAlignment="1">
      <alignment horizontal="center"/>
    </xf>
    <xf numFmtId="175" fontId="44" fillId="13" borderId="3" xfId="0" applyNumberFormat="1" applyFont="1" applyFill="1" applyBorder="1" applyAlignment="1">
      <alignment horizontal="center" vertical="center"/>
    </xf>
    <xf numFmtId="180" fontId="45" fillId="13" borderId="3" xfId="0" applyNumberFormat="1" applyFont="1" applyFill="1" applyBorder="1" applyAlignment="1">
      <alignment horizontal="center" vertical="center"/>
    </xf>
    <xf numFmtId="175" fontId="44" fillId="13" borderId="1" xfId="0" applyNumberFormat="1" applyFont="1" applyFill="1" applyBorder="1" applyAlignment="1">
      <alignment horizontal="center" vertical="center"/>
    </xf>
    <xf numFmtId="170" fontId="6" fillId="0" borderId="0" xfId="0" applyNumberFormat="1" applyFont="1"/>
    <xf numFmtId="170" fontId="6" fillId="14" borderId="38" xfId="0" applyNumberFormat="1" applyFont="1" applyFill="1" applyBorder="1"/>
    <xf numFmtId="14" fontId="6" fillId="14" borderId="38" xfId="0" applyNumberFormat="1" applyFont="1" applyFill="1" applyBorder="1" applyAlignment="1">
      <alignment horizontal="right"/>
    </xf>
    <xf numFmtId="170" fontId="6" fillId="0" borderId="38" xfId="0" applyNumberFormat="1" applyFont="1" applyBorder="1"/>
    <xf numFmtId="182" fontId="9" fillId="0" borderId="52" xfId="0" applyNumberFormat="1" applyFont="1" applyBorder="1" applyAlignment="1">
      <alignment horizontal="center"/>
    </xf>
    <xf numFmtId="183" fontId="9" fillId="0" borderId="54" xfId="0" applyNumberFormat="1" applyFont="1" applyBorder="1" applyAlignment="1">
      <alignment horizontal="center"/>
    </xf>
    <xf numFmtId="170" fontId="6" fillId="15" borderId="52" xfId="0" applyNumberFormat="1" applyFont="1" applyFill="1" applyBorder="1"/>
    <xf numFmtId="170" fontId="6" fillId="15" borderId="55" xfId="0" applyNumberFormat="1" applyFont="1" applyFill="1" applyBorder="1" applyAlignment="1">
      <alignment horizontal="center"/>
    </xf>
    <xf numFmtId="170" fontId="6" fillId="15" borderId="56" xfId="0" applyNumberFormat="1" applyFont="1" applyFill="1" applyBorder="1"/>
    <xf numFmtId="170" fontId="6" fillId="15" borderId="57" xfId="0" applyNumberFormat="1" applyFont="1" applyFill="1" applyBorder="1"/>
    <xf numFmtId="170" fontId="6" fillId="15" borderId="55" xfId="0" applyNumberFormat="1" applyFont="1" applyFill="1" applyBorder="1"/>
    <xf numFmtId="170" fontId="9" fillId="15" borderId="55" xfId="0" applyNumberFormat="1" applyFont="1" applyFill="1" applyBorder="1" applyAlignment="1">
      <alignment horizontal="center"/>
    </xf>
    <xf numFmtId="170" fontId="6" fillId="15" borderId="4" xfId="0" applyNumberFormat="1" applyFont="1" applyFill="1" applyBorder="1"/>
    <xf numFmtId="170" fontId="6" fillId="15" borderId="4" xfId="0" applyNumberFormat="1" applyFont="1" applyFill="1" applyBorder="1" applyAlignment="1">
      <alignment horizontal="center"/>
    </xf>
    <xf numFmtId="170" fontId="6" fillId="15" borderId="58" xfId="0" applyNumberFormat="1" applyFont="1" applyFill="1" applyBorder="1"/>
    <xf numFmtId="170" fontId="9" fillId="15" borderId="4" xfId="0" applyNumberFormat="1" applyFont="1" applyFill="1" applyBorder="1" applyAlignment="1">
      <alignment horizontal="center"/>
    </xf>
    <xf numFmtId="170" fontId="6" fillId="15" borderId="58" xfId="0" applyNumberFormat="1" applyFont="1" applyFill="1" applyBorder="1" applyAlignment="1">
      <alignment horizontal="center"/>
    </xf>
    <xf numFmtId="10" fontId="6" fillId="0" borderId="0" xfId="0" applyNumberFormat="1" applyFont="1" applyAlignment="1">
      <alignment horizontal="right"/>
    </xf>
    <xf numFmtId="170" fontId="6" fillId="15" borderId="56" xfId="0" applyNumberFormat="1" applyFont="1" applyFill="1" applyBorder="1" applyAlignment="1">
      <alignment horizontal="center"/>
    </xf>
    <xf numFmtId="10" fontId="6" fillId="0" borderId="0" xfId="0" applyNumberFormat="1" applyFont="1"/>
    <xf numFmtId="170" fontId="9" fillId="15" borderId="52" xfId="0" applyNumberFormat="1" applyFont="1" applyFill="1" applyBorder="1" applyAlignment="1">
      <alignment horizontal="center"/>
    </xf>
    <xf numFmtId="170" fontId="6" fillId="16" borderId="52" xfId="0" applyNumberFormat="1" applyFont="1" applyFill="1" applyBorder="1"/>
    <xf numFmtId="170" fontId="6" fillId="16" borderId="54" xfId="0" applyNumberFormat="1" applyFont="1" applyFill="1" applyBorder="1" applyAlignment="1">
      <alignment horizontal="center"/>
    </xf>
    <xf numFmtId="170" fontId="9" fillId="18" borderId="53" xfId="0" applyNumberFormat="1" applyFont="1" applyFill="1" applyBorder="1" applyAlignment="1">
      <alignment horizontal="center"/>
    </xf>
    <xf numFmtId="170" fontId="6" fillId="18" borderId="1" xfId="0" applyNumberFormat="1" applyFont="1" applyFill="1" applyBorder="1"/>
    <xf numFmtId="170" fontId="6" fillId="18" borderId="53" xfId="0" applyNumberFormat="1" applyFont="1" applyFill="1" applyBorder="1" applyAlignment="1">
      <alignment horizontal="center"/>
    </xf>
    <xf numFmtId="170" fontId="15" fillId="19" borderId="55" xfId="0" applyNumberFormat="1" applyFont="1" applyFill="1" applyBorder="1" applyAlignment="1">
      <alignment horizontal="center"/>
    </xf>
    <xf numFmtId="170" fontId="15" fillId="19" borderId="52" xfId="0" applyNumberFormat="1" applyFont="1" applyFill="1" applyBorder="1" applyAlignment="1">
      <alignment horizontal="center"/>
    </xf>
    <xf numFmtId="170" fontId="6" fillId="17" borderId="55" xfId="0" applyNumberFormat="1" applyFont="1" applyFill="1" applyBorder="1"/>
    <xf numFmtId="170" fontId="6" fillId="17" borderId="55" xfId="0" applyNumberFormat="1" applyFont="1" applyFill="1" applyBorder="1" applyAlignment="1">
      <alignment horizontal="center"/>
    </xf>
    <xf numFmtId="170" fontId="6" fillId="17" borderId="56" xfId="0" applyNumberFormat="1" applyFont="1" applyFill="1" applyBorder="1"/>
    <xf numFmtId="170" fontId="19" fillId="17" borderId="55" xfId="0" applyNumberFormat="1" applyFont="1" applyFill="1" applyBorder="1" applyAlignment="1">
      <alignment horizontal="center"/>
    </xf>
    <xf numFmtId="170" fontId="6" fillId="17" borderId="52" xfId="0" applyNumberFormat="1" applyFont="1" applyFill="1" applyBorder="1" applyAlignment="1">
      <alignment horizontal="center"/>
    </xf>
    <xf numFmtId="170" fontId="6" fillId="17" borderId="57" xfId="0" applyNumberFormat="1" applyFont="1" applyFill="1" applyBorder="1"/>
    <xf numFmtId="170" fontId="6" fillId="2" borderId="57" xfId="0" applyNumberFormat="1" applyFont="1" applyFill="1" applyBorder="1"/>
    <xf numFmtId="170" fontId="9" fillId="17" borderId="55" xfId="0" applyNumberFormat="1" applyFont="1" applyFill="1" applyBorder="1" applyAlignment="1">
      <alignment horizontal="center"/>
    </xf>
    <xf numFmtId="170" fontId="6" fillId="17" borderId="59" xfId="0" applyNumberFormat="1" applyFont="1" applyFill="1" applyBorder="1"/>
    <xf numFmtId="170" fontId="9" fillId="17" borderId="60" xfId="0" applyNumberFormat="1" applyFont="1" applyFill="1" applyBorder="1" applyAlignment="1">
      <alignment horizontal="center"/>
    </xf>
    <xf numFmtId="170" fontId="9" fillId="17" borderId="61" xfId="0" applyNumberFormat="1" applyFont="1" applyFill="1" applyBorder="1" applyAlignment="1">
      <alignment horizontal="center"/>
    </xf>
    <xf numFmtId="170" fontId="6" fillId="17" borderId="52" xfId="0" applyNumberFormat="1" applyFont="1" applyFill="1" applyBorder="1"/>
    <xf numFmtId="170" fontId="9" fillId="17" borderId="3" xfId="0" applyNumberFormat="1" applyFont="1" applyFill="1" applyBorder="1" applyAlignment="1">
      <alignment horizontal="center"/>
    </xf>
    <xf numFmtId="170" fontId="16" fillId="17" borderId="56" xfId="0" applyNumberFormat="1" applyFont="1" applyFill="1" applyBorder="1" applyAlignment="1">
      <alignment horizontal="center"/>
    </xf>
    <xf numFmtId="170" fontId="6" fillId="17" borderId="0" xfId="0" applyNumberFormat="1" applyFont="1" applyFill="1"/>
    <xf numFmtId="170" fontId="16" fillId="17" borderId="57" xfId="0" applyNumberFormat="1" applyFont="1" applyFill="1" applyBorder="1" applyAlignment="1">
      <alignment horizontal="right"/>
    </xf>
    <xf numFmtId="170" fontId="16" fillId="17" borderId="57" xfId="0" applyNumberFormat="1" applyFont="1" applyFill="1" applyBorder="1" applyAlignment="1">
      <alignment horizontal="center"/>
    </xf>
    <xf numFmtId="10" fontId="6" fillId="17" borderId="55" xfId="0" applyNumberFormat="1" applyFont="1" applyFill="1" applyBorder="1" applyAlignment="1">
      <alignment horizontal="center"/>
    </xf>
    <xf numFmtId="170" fontId="19" fillId="9" borderId="60" xfId="0" applyNumberFormat="1" applyFont="1" applyFill="1" applyBorder="1" applyAlignment="1">
      <alignment horizontal="center"/>
    </xf>
    <xf numFmtId="170" fontId="19" fillId="9" borderId="61" xfId="0" applyNumberFormat="1" applyFont="1" applyFill="1" applyBorder="1" applyAlignment="1">
      <alignment horizontal="center"/>
    </xf>
    <xf numFmtId="170" fontId="9" fillId="9" borderId="61" xfId="0" applyNumberFormat="1" applyFont="1" applyFill="1" applyBorder="1" applyAlignment="1">
      <alignment horizontal="center"/>
    </xf>
    <xf numFmtId="10" fontId="6" fillId="17" borderId="52" xfId="0" applyNumberFormat="1" applyFont="1" applyFill="1" applyBorder="1" applyAlignment="1">
      <alignment horizontal="center"/>
    </xf>
    <xf numFmtId="170" fontId="6" fillId="17" borderId="4" xfId="0" applyNumberFormat="1" applyFont="1" applyFill="1" applyBorder="1"/>
    <xf numFmtId="10" fontId="6" fillId="17" borderId="4" xfId="0" applyNumberFormat="1" applyFont="1" applyFill="1" applyBorder="1" applyAlignment="1">
      <alignment horizontal="center"/>
    </xf>
    <xf numFmtId="170" fontId="6" fillId="17" borderId="58" xfId="0" applyNumberFormat="1" applyFont="1" applyFill="1" applyBorder="1"/>
    <xf numFmtId="170" fontId="6" fillId="17" borderId="53" xfId="0" applyNumberFormat="1" applyFont="1" applyFill="1" applyBorder="1"/>
    <xf numFmtId="170" fontId="19" fillId="9" borderId="3" xfId="0" applyNumberFormat="1" applyFont="1" applyFill="1" applyBorder="1" applyAlignment="1">
      <alignment horizontal="center"/>
    </xf>
    <xf numFmtId="170" fontId="6" fillId="17" borderId="61" xfId="0" applyNumberFormat="1" applyFont="1" applyFill="1" applyBorder="1"/>
    <xf numFmtId="170" fontId="6" fillId="17" borderId="56" xfId="0" applyNumberFormat="1" applyFont="1" applyFill="1" applyBorder="1" applyAlignment="1">
      <alignment horizontal="center"/>
    </xf>
    <xf numFmtId="170" fontId="19" fillId="17" borderId="62" xfId="0" applyNumberFormat="1" applyFont="1" applyFill="1" applyBorder="1" applyAlignment="1">
      <alignment horizontal="center"/>
    </xf>
    <xf numFmtId="170" fontId="6" fillId="17" borderId="63" xfId="0" applyNumberFormat="1" applyFont="1" applyFill="1" applyBorder="1"/>
    <xf numFmtId="170" fontId="6" fillId="17" borderId="3" xfId="0" applyNumberFormat="1" applyFont="1" applyFill="1" applyBorder="1"/>
    <xf numFmtId="170" fontId="6" fillId="17" borderId="53" xfId="0" applyNumberFormat="1" applyFont="1" applyFill="1" applyBorder="1" applyAlignment="1">
      <alignment horizontal="center"/>
    </xf>
    <xf numFmtId="170" fontId="6" fillId="17" borderId="60" xfId="0" applyNumberFormat="1" applyFont="1" applyFill="1" applyBorder="1"/>
    <xf numFmtId="170" fontId="6" fillId="17" borderId="57" xfId="0" applyNumberFormat="1" applyFont="1" applyFill="1" applyBorder="1" applyAlignment="1">
      <alignment horizontal="center"/>
    </xf>
    <xf numFmtId="170" fontId="19" fillId="17" borderId="64" xfId="0" applyNumberFormat="1" applyFont="1" applyFill="1" applyBorder="1" applyAlignment="1">
      <alignment horizontal="center"/>
    </xf>
    <xf numFmtId="170" fontId="6" fillId="17" borderId="58" xfId="0" applyNumberFormat="1" applyFont="1" applyFill="1" applyBorder="1" applyAlignment="1">
      <alignment horizontal="center"/>
    </xf>
    <xf numFmtId="170" fontId="19" fillId="17" borderId="3" xfId="0" applyNumberFormat="1" applyFont="1" applyFill="1" applyBorder="1" applyAlignment="1">
      <alignment horizontal="center"/>
    </xf>
    <xf numFmtId="170" fontId="9" fillId="17" borderId="62" xfId="0" applyNumberFormat="1" applyFont="1" applyFill="1" applyBorder="1" applyAlignment="1">
      <alignment horizontal="center"/>
    </xf>
    <xf numFmtId="170" fontId="6" fillId="17" borderId="4" xfId="0" applyNumberFormat="1" applyFont="1" applyFill="1" applyBorder="1" applyAlignment="1">
      <alignment horizontal="center"/>
    </xf>
    <xf numFmtId="170" fontId="6" fillId="18" borderId="4" xfId="0" applyNumberFormat="1" applyFont="1" applyFill="1" applyBorder="1" applyAlignment="1">
      <alignment horizontal="center"/>
    </xf>
    <xf numFmtId="170" fontId="6" fillId="18" borderId="65" xfId="0" applyNumberFormat="1" applyFont="1" applyFill="1" applyBorder="1" applyAlignment="1">
      <alignment horizontal="center"/>
    </xf>
    <xf numFmtId="170" fontId="6" fillId="21" borderId="54" xfId="0" applyNumberFormat="1" applyFont="1" applyFill="1" applyBorder="1"/>
    <xf numFmtId="170" fontId="6" fillId="21" borderId="66" xfId="0" applyNumberFormat="1" applyFont="1" applyFill="1" applyBorder="1" applyAlignment="1">
      <alignment horizontal="center"/>
    </xf>
    <xf numFmtId="170" fontId="16" fillId="21" borderId="66" xfId="0" applyNumberFormat="1" applyFont="1" applyFill="1" applyBorder="1" applyAlignment="1">
      <alignment horizontal="center"/>
    </xf>
    <xf numFmtId="170" fontId="6" fillId="21" borderId="67" xfId="0" applyNumberFormat="1" applyFont="1" applyFill="1" applyBorder="1" applyAlignment="1">
      <alignment horizontal="center"/>
    </xf>
    <xf numFmtId="170" fontId="6" fillId="22" borderId="54" xfId="0" applyNumberFormat="1" applyFont="1" applyFill="1" applyBorder="1"/>
    <xf numFmtId="170" fontId="6" fillId="22" borderId="66" xfId="0" applyNumberFormat="1" applyFont="1" applyFill="1" applyBorder="1" applyAlignment="1">
      <alignment horizontal="center"/>
    </xf>
    <xf numFmtId="170" fontId="6" fillId="0" borderId="0" xfId="0" applyNumberFormat="1" applyFont="1" applyAlignment="1">
      <alignment horizontal="right"/>
    </xf>
    <xf numFmtId="170" fontId="51" fillId="23" borderId="0" xfId="0" applyNumberFormat="1" applyFont="1" applyFill="1"/>
    <xf numFmtId="170" fontId="6" fillId="23" borderId="0" xfId="0" applyNumberFormat="1" applyFont="1" applyFill="1"/>
    <xf numFmtId="170" fontId="9" fillId="16" borderId="53" xfId="0" applyNumberFormat="1" applyFont="1" applyFill="1" applyBorder="1" applyAlignment="1">
      <alignment horizontal="center"/>
    </xf>
    <xf numFmtId="170" fontId="6" fillId="16" borderId="4" xfId="0" applyNumberFormat="1" applyFont="1" applyFill="1" applyBorder="1"/>
    <xf numFmtId="170" fontId="6" fillId="16" borderId="4" xfId="0" applyNumberFormat="1" applyFont="1" applyFill="1" applyBorder="1" applyAlignment="1">
      <alignment horizontal="right"/>
    </xf>
    <xf numFmtId="170" fontId="9" fillId="16" borderId="4" xfId="0" applyNumberFormat="1" applyFont="1" applyFill="1" applyBorder="1" applyAlignment="1">
      <alignment horizontal="center"/>
    </xf>
    <xf numFmtId="170" fontId="6" fillId="16" borderId="53" xfId="0" applyNumberFormat="1" applyFont="1" applyFill="1" applyBorder="1"/>
    <xf numFmtId="170" fontId="52" fillId="16" borderId="4" xfId="0" applyNumberFormat="1" applyFont="1" applyFill="1" applyBorder="1"/>
    <xf numFmtId="9" fontId="7" fillId="16" borderId="4" xfId="0" applyNumberFormat="1" applyFont="1" applyFill="1" applyBorder="1" applyAlignment="1">
      <alignment horizontal="center"/>
    </xf>
    <xf numFmtId="170" fontId="6" fillId="0" borderId="53" xfId="0" applyNumberFormat="1" applyFont="1" applyBorder="1"/>
    <xf numFmtId="170" fontId="6" fillId="0" borderId="52" xfId="0" applyNumberFormat="1" applyFont="1" applyBorder="1"/>
    <xf numFmtId="9" fontId="9" fillId="16" borderId="4" xfId="0" applyNumberFormat="1" applyFont="1" applyFill="1" applyBorder="1" applyAlignment="1">
      <alignment horizontal="center"/>
    </xf>
    <xf numFmtId="170" fontId="6" fillId="16" borderId="52" xfId="0" applyNumberFormat="1" applyFont="1" applyFill="1" applyBorder="1" applyAlignment="1">
      <alignment horizontal="right"/>
    </xf>
    <xf numFmtId="170" fontId="6" fillId="14" borderId="4" xfId="0" applyNumberFormat="1" applyFont="1" applyFill="1" applyBorder="1" applyAlignment="1">
      <alignment horizontal="right"/>
    </xf>
    <xf numFmtId="10" fontId="9" fillId="14" borderId="53" xfId="0" applyNumberFormat="1" applyFont="1" applyFill="1" applyBorder="1" applyAlignment="1">
      <alignment horizontal="right"/>
    </xf>
    <xf numFmtId="170" fontId="6" fillId="24" borderId="4" xfId="0" applyNumberFormat="1" applyFont="1" applyFill="1" applyBorder="1" applyAlignment="1">
      <alignment horizontal="right"/>
    </xf>
    <xf numFmtId="10" fontId="9" fillId="14" borderId="4" xfId="0" applyNumberFormat="1" applyFont="1" applyFill="1" applyBorder="1" applyAlignment="1">
      <alignment horizontal="right"/>
    </xf>
    <xf numFmtId="170" fontId="6" fillId="16" borderId="4" xfId="0" applyNumberFormat="1" applyFont="1" applyFill="1" applyBorder="1" applyAlignment="1">
      <alignment horizontal="center"/>
    </xf>
    <xf numFmtId="165" fontId="6" fillId="14" borderId="4" xfId="0" applyNumberFormat="1" applyFont="1" applyFill="1" applyBorder="1" applyAlignment="1">
      <alignment horizontal="right"/>
    </xf>
    <xf numFmtId="165" fontId="9" fillId="14" borderId="4" xfId="0" applyNumberFormat="1" applyFont="1" applyFill="1" applyBorder="1" applyAlignment="1">
      <alignment horizontal="right"/>
    </xf>
    <xf numFmtId="0" fontId="6" fillId="0" borderId="0" xfId="0" applyFont="1"/>
    <xf numFmtId="170" fontId="16" fillId="24" borderId="4" xfId="0" applyNumberFormat="1" applyFont="1" applyFill="1" applyBorder="1" applyAlignment="1">
      <alignment horizontal="right"/>
    </xf>
    <xf numFmtId="170" fontId="42" fillId="0" borderId="0" xfId="0" applyNumberFormat="1" applyFont="1"/>
    <xf numFmtId="0" fontId="54" fillId="26" borderId="68" xfId="0" applyFont="1" applyFill="1" applyBorder="1" applyAlignment="1">
      <alignment horizontal="center"/>
    </xf>
    <xf numFmtId="0" fontId="54" fillId="13" borderId="68" xfId="0" applyFont="1" applyFill="1" applyBorder="1" applyAlignment="1">
      <alignment horizontal="center"/>
    </xf>
    <xf numFmtId="0" fontId="54" fillId="23" borderId="68" xfId="0" applyFont="1" applyFill="1" applyBorder="1" applyAlignment="1">
      <alignment horizontal="center"/>
    </xf>
    <xf numFmtId="0" fontId="54" fillId="27" borderId="68" xfId="0" applyFont="1" applyFill="1" applyBorder="1" applyAlignment="1">
      <alignment horizontal="center"/>
    </xf>
    <xf numFmtId="184" fontId="55" fillId="19" borderId="1" xfId="0" applyNumberFormat="1" applyFont="1" applyFill="1" applyBorder="1" applyAlignment="1">
      <alignment horizontal="center"/>
    </xf>
    <xf numFmtId="170" fontId="56" fillId="13" borderId="1" xfId="0" applyNumberFormat="1" applyFont="1" applyFill="1" applyBorder="1" applyAlignment="1">
      <alignment horizontal="center"/>
    </xf>
    <xf numFmtId="165" fontId="42" fillId="23" borderId="0" xfId="0" applyNumberFormat="1" applyFont="1" applyFill="1"/>
    <xf numFmtId="176" fontId="42" fillId="27" borderId="0" xfId="0" applyNumberFormat="1" applyFont="1" applyFill="1"/>
    <xf numFmtId="170" fontId="54" fillId="13" borderId="68" xfId="0" applyNumberFormat="1" applyFont="1" applyFill="1" applyBorder="1" applyAlignment="1">
      <alignment horizontal="center"/>
    </xf>
    <xf numFmtId="184" fontId="55" fillId="26" borderId="1" xfId="0" applyNumberFormat="1" applyFont="1" applyFill="1" applyBorder="1" applyAlignment="1">
      <alignment horizontal="center"/>
    </xf>
    <xf numFmtId="184" fontId="55" fillId="28" borderId="1" xfId="0" applyNumberFormat="1" applyFont="1" applyFill="1" applyBorder="1" applyAlignment="1">
      <alignment horizontal="center"/>
    </xf>
    <xf numFmtId="176" fontId="42" fillId="0" borderId="0" xfId="0" applyNumberFormat="1" applyFont="1"/>
    <xf numFmtId="10" fontId="6" fillId="15" borderId="58" xfId="0" applyNumberFormat="1" applyFont="1" applyFill="1" applyBorder="1"/>
    <xf numFmtId="175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175" fontId="6" fillId="0" borderId="0" xfId="0" applyNumberFormat="1" applyFont="1"/>
    <xf numFmtId="170" fontId="2" fillId="17" borderId="57" xfId="0" applyNumberFormat="1" applyFont="1" applyFill="1" applyBorder="1"/>
    <xf numFmtId="170" fontId="6" fillId="2" borderId="0" xfId="0" applyNumberFormat="1" applyFont="1" applyFill="1"/>
    <xf numFmtId="170" fontId="6" fillId="25" borderId="56" xfId="0" applyNumberFormat="1" applyFont="1" applyFill="1" applyBorder="1"/>
    <xf numFmtId="170" fontId="6" fillId="2" borderId="56" xfId="0" applyNumberFormat="1" applyFont="1" applyFill="1" applyBorder="1"/>
    <xf numFmtId="10" fontId="42" fillId="0" borderId="0" xfId="0" applyNumberFormat="1" applyFont="1"/>
    <xf numFmtId="170" fontId="2" fillId="2" borderId="57" xfId="0" applyNumberFormat="1" applyFont="1" applyFill="1" applyBorder="1"/>
    <xf numFmtId="180" fontId="42" fillId="0" borderId="0" xfId="0" applyNumberFormat="1" applyFont="1"/>
    <xf numFmtId="179" fontId="42" fillId="0" borderId="0" xfId="0" applyNumberFormat="1" applyFont="1"/>
    <xf numFmtId="182" fontId="9" fillId="0" borderId="54" xfId="0" applyNumberFormat="1" applyFont="1" applyBorder="1" applyAlignment="1">
      <alignment horizontal="center"/>
    </xf>
    <xf numFmtId="170" fontId="6" fillId="15" borderId="70" xfId="0" applyNumberFormat="1" applyFont="1" applyFill="1" applyBorder="1"/>
    <xf numFmtId="170" fontId="6" fillId="15" borderId="71" xfId="0" applyNumberFormat="1" applyFont="1" applyFill="1" applyBorder="1" applyAlignment="1">
      <alignment horizontal="center"/>
    </xf>
    <xf numFmtId="170" fontId="6" fillId="15" borderId="72" xfId="0" applyNumberFormat="1" applyFont="1" applyFill="1" applyBorder="1" applyAlignment="1">
      <alignment horizontal="center"/>
    </xf>
    <xf numFmtId="170" fontId="6" fillId="15" borderId="73" xfId="0" applyNumberFormat="1" applyFont="1" applyFill="1" applyBorder="1" applyAlignment="1">
      <alignment horizontal="center"/>
    </xf>
    <xf numFmtId="170" fontId="9" fillId="15" borderId="73" xfId="0" applyNumberFormat="1" applyFont="1" applyFill="1" applyBorder="1" applyAlignment="1">
      <alignment horizontal="center"/>
    </xf>
    <xf numFmtId="170" fontId="9" fillId="15" borderId="76" xfId="0" applyNumberFormat="1" applyFont="1" applyFill="1" applyBorder="1" applyAlignment="1">
      <alignment horizontal="center"/>
    </xf>
    <xf numFmtId="170" fontId="9" fillId="15" borderId="77" xfId="0" applyNumberFormat="1" applyFont="1" applyFill="1" applyBorder="1" applyAlignment="1">
      <alignment horizontal="center"/>
    </xf>
    <xf numFmtId="170" fontId="9" fillId="15" borderId="2" xfId="0" applyNumberFormat="1" applyFont="1" applyFill="1" applyBorder="1"/>
    <xf numFmtId="170" fontId="6" fillId="15" borderId="0" xfId="0" applyNumberFormat="1" applyFont="1" applyFill="1"/>
    <xf numFmtId="170" fontId="6" fillId="15" borderId="55" xfId="0" applyNumberFormat="1" applyFont="1" applyFill="1" applyBorder="1" applyAlignment="1">
      <alignment horizontal="right"/>
    </xf>
    <xf numFmtId="170" fontId="6" fillId="15" borderId="0" xfId="0" applyNumberFormat="1" applyFont="1" applyFill="1" applyAlignment="1">
      <alignment horizontal="center"/>
    </xf>
    <xf numFmtId="170" fontId="23" fillId="15" borderId="0" xfId="0" applyNumberFormat="1" applyFont="1" applyFill="1" applyAlignment="1">
      <alignment horizontal="center"/>
    </xf>
    <xf numFmtId="170" fontId="6" fillId="15" borderId="4" xfId="0" applyNumberFormat="1" applyFont="1" applyFill="1" applyBorder="1" applyAlignment="1">
      <alignment horizontal="right"/>
    </xf>
    <xf numFmtId="170" fontId="23" fillId="15" borderId="58" xfId="0" applyNumberFormat="1" applyFont="1" applyFill="1" applyBorder="1" applyAlignment="1">
      <alignment horizontal="center"/>
    </xf>
    <xf numFmtId="170" fontId="6" fillId="15" borderId="59" xfId="0" applyNumberFormat="1" applyFont="1" applyFill="1" applyBorder="1" applyAlignment="1">
      <alignment horizontal="center"/>
    </xf>
    <xf numFmtId="170" fontId="9" fillId="15" borderId="59" xfId="0" applyNumberFormat="1" applyFont="1" applyFill="1" applyBorder="1" applyAlignment="1">
      <alignment horizontal="center"/>
    </xf>
    <xf numFmtId="170" fontId="9" fillId="15" borderId="81" xfId="0" applyNumberFormat="1" applyFont="1" applyFill="1" applyBorder="1" applyAlignment="1">
      <alignment horizontal="center"/>
    </xf>
    <xf numFmtId="170" fontId="6" fillId="15" borderId="83" xfId="0" applyNumberFormat="1" applyFont="1" applyFill="1" applyBorder="1"/>
    <xf numFmtId="170" fontId="6" fillId="15" borderId="83" xfId="0" applyNumberFormat="1" applyFont="1" applyFill="1" applyBorder="1" applyAlignment="1">
      <alignment horizontal="center"/>
    </xf>
    <xf numFmtId="170" fontId="6" fillId="15" borderId="84" xfId="0" applyNumberFormat="1" applyFont="1" applyFill="1" applyBorder="1" applyAlignment="1">
      <alignment horizontal="center"/>
    </xf>
    <xf numFmtId="170" fontId="6" fillId="15" borderId="85" xfId="0" applyNumberFormat="1" applyFont="1" applyFill="1" applyBorder="1"/>
    <xf numFmtId="170" fontId="9" fillId="15" borderId="84" xfId="0" applyNumberFormat="1" applyFont="1" applyFill="1" applyBorder="1" applyAlignment="1">
      <alignment horizontal="center"/>
    </xf>
    <xf numFmtId="170" fontId="9" fillId="15" borderId="86" xfId="0" applyNumberFormat="1" applyFont="1" applyFill="1" applyBorder="1" applyAlignment="1">
      <alignment horizontal="center"/>
    </xf>
    <xf numFmtId="170" fontId="2" fillId="17" borderId="69" xfId="0" applyNumberFormat="1" applyFont="1" applyFill="1" applyBorder="1"/>
    <xf numFmtId="170" fontId="6" fillId="17" borderId="71" xfId="0" applyNumberFormat="1" applyFont="1" applyFill="1" applyBorder="1"/>
    <xf numFmtId="10" fontId="6" fillId="17" borderId="71" xfId="0" applyNumberFormat="1" applyFont="1" applyFill="1" applyBorder="1" applyAlignment="1">
      <alignment horizontal="center"/>
    </xf>
    <xf numFmtId="10" fontId="2" fillId="17" borderId="73" xfId="0" applyNumberFormat="1" applyFont="1" applyFill="1" applyBorder="1"/>
    <xf numFmtId="4" fontId="2" fillId="17" borderId="73" xfId="0" applyNumberFormat="1" applyFont="1" applyFill="1" applyBorder="1"/>
    <xf numFmtId="170" fontId="2" fillId="17" borderId="87" xfId="0" applyNumberFormat="1" applyFont="1" applyFill="1" applyBorder="1"/>
    <xf numFmtId="170" fontId="16" fillId="17" borderId="71" xfId="0" applyNumberFormat="1" applyFont="1" applyFill="1" applyBorder="1" applyAlignment="1">
      <alignment horizontal="right"/>
    </xf>
    <xf numFmtId="170" fontId="19" fillId="17" borderId="73" xfId="0" applyNumberFormat="1" applyFont="1" applyFill="1" applyBorder="1" applyAlignment="1">
      <alignment horizontal="center"/>
    </xf>
    <xf numFmtId="170" fontId="2" fillId="17" borderId="75" xfId="0" applyNumberFormat="1" applyFont="1" applyFill="1" applyBorder="1"/>
    <xf numFmtId="10" fontId="2" fillId="17" borderId="59" xfId="0" applyNumberFormat="1" applyFont="1" applyFill="1" applyBorder="1"/>
    <xf numFmtId="170" fontId="2" fillId="17" borderId="59" xfId="0" applyNumberFormat="1" applyFont="1" applyFill="1" applyBorder="1"/>
    <xf numFmtId="170" fontId="2" fillId="17" borderId="56" xfId="0" applyNumberFormat="1" applyFont="1" applyFill="1" applyBorder="1"/>
    <xf numFmtId="170" fontId="9" fillId="17" borderId="59" xfId="0" applyNumberFormat="1" applyFont="1" applyFill="1" applyBorder="1" applyAlignment="1">
      <alignment horizontal="center"/>
    </xf>
    <xf numFmtId="170" fontId="2" fillId="17" borderId="82" xfId="0" applyNumberFormat="1" applyFont="1" applyFill="1" applyBorder="1"/>
    <xf numFmtId="170" fontId="6" fillId="17" borderId="83" xfId="0" applyNumberFormat="1" applyFont="1" applyFill="1" applyBorder="1"/>
    <xf numFmtId="10" fontId="6" fillId="17" borderId="83" xfId="0" applyNumberFormat="1" applyFont="1" applyFill="1" applyBorder="1" applyAlignment="1">
      <alignment horizontal="center"/>
    </xf>
    <xf numFmtId="10" fontId="2" fillId="17" borderId="84" xfId="0" applyNumberFormat="1" applyFont="1" applyFill="1" applyBorder="1"/>
    <xf numFmtId="170" fontId="2" fillId="17" borderId="85" xfId="0" applyNumberFormat="1" applyFont="1" applyFill="1" applyBorder="1"/>
    <xf numFmtId="170" fontId="9" fillId="17" borderId="84" xfId="0" applyNumberFormat="1" applyFont="1" applyFill="1" applyBorder="1" applyAlignment="1">
      <alignment horizontal="center"/>
    </xf>
    <xf numFmtId="170" fontId="6" fillId="17" borderId="71" xfId="0" applyNumberFormat="1" applyFont="1" applyFill="1" applyBorder="1" applyAlignment="1">
      <alignment horizontal="center"/>
    </xf>
    <xf numFmtId="170" fontId="16" fillId="17" borderId="72" xfId="0" applyNumberFormat="1" applyFont="1" applyFill="1" applyBorder="1" applyAlignment="1">
      <alignment horizontal="center"/>
    </xf>
    <xf numFmtId="170" fontId="2" fillId="17" borderId="88" xfId="0" applyNumberFormat="1" applyFont="1" applyFill="1" applyBorder="1"/>
    <xf numFmtId="170" fontId="19" fillId="17" borderId="72" xfId="0" applyNumberFormat="1" applyFont="1" applyFill="1" applyBorder="1" applyAlignment="1">
      <alignment horizontal="center"/>
    </xf>
    <xf numFmtId="170" fontId="9" fillId="17" borderId="0" xfId="0" applyNumberFormat="1" applyFont="1" applyFill="1" applyAlignment="1">
      <alignment horizontal="center"/>
    </xf>
    <xf numFmtId="170" fontId="6" fillId="17" borderId="55" xfId="0" applyNumberFormat="1" applyFont="1" applyFill="1" applyBorder="1" applyAlignment="1">
      <alignment horizontal="right"/>
    </xf>
    <xf numFmtId="170" fontId="2" fillId="17" borderId="59" xfId="0" applyNumberFormat="1" applyFont="1" applyFill="1" applyBorder="1" applyAlignment="1">
      <alignment horizontal="center"/>
    </xf>
    <xf numFmtId="170" fontId="58" fillId="17" borderId="59" xfId="0" applyNumberFormat="1" applyFont="1" applyFill="1" applyBorder="1" applyAlignment="1">
      <alignment horizontal="center"/>
    </xf>
    <xf numFmtId="170" fontId="6" fillId="17" borderId="83" xfId="0" applyNumberFormat="1" applyFont="1" applyFill="1" applyBorder="1" applyAlignment="1">
      <alignment horizontal="center"/>
    </xf>
    <xf numFmtId="170" fontId="2" fillId="17" borderId="84" xfId="0" applyNumberFormat="1" applyFont="1" applyFill="1" applyBorder="1"/>
    <xf numFmtId="0" fontId="42" fillId="6" borderId="76" xfId="0" applyFont="1" applyFill="1" applyBorder="1"/>
    <xf numFmtId="170" fontId="42" fillId="6" borderId="77" xfId="0" applyNumberFormat="1" applyFont="1" applyFill="1" applyBorder="1" applyAlignment="1">
      <alignment horizontal="center"/>
    </xf>
    <xf numFmtId="170" fontId="42" fillId="6" borderId="2" xfId="0" applyNumberFormat="1" applyFont="1" applyFill="1" applyBorder="1" applyAlignment="1">
      <alignment horizontal="center"/>
    </xf>
    <xf numFmtId="0" fontId="42" fillId="0" borderId="0" xfId="0" applyFont="1" applyAlignment="1">
      <alignment horizontal="center"/>
    </xf>
    <xf numFmtId="0" fontId="59" fillId="29" borderId="0" xfId="0" applyFont="1" applyFill="1"/>
    <xf numFmtId="170" fontId="60" fillId="29" borderId="0" xfId="0" applyNumberFormat="1" applyFont="1" applyFill="1" applyAlignment="1">
      <alignment horizontal="left" vertical="center"/>
    </xf>
    <xf numFmtId="0" fontId="54" fillId="30" borderId="1" xfId="0" applyFont="1" applyFill="1" applyBorder="1" applyAlignment="1">
      <alignment horizontal="center"/>
    </xf>
    <xf numFmtId="0" fontId="38" fillId="0" borderId="1" xfId="0" applyFont="1" applyBorder="1"/>
    <xf numFmtId="0" fontId="38" fillId="0" borderId="2" xfId="0" applyFont="1" applyBorder="1" applyAlignment="1">
      <alignment horizontal="center" wrapText="1"/>
    </xf>
    <xf numFmtId="0" fontId="38" fillId="0" borderId="3" xfId="0" applyFont="1" applyBorder="1"/>
    <xf numFmtId="0" fontId="38" fillId="0" borderId="4" xfId="0" applyFont="1" applyBorder="1" applyAlignment="1">
      <alignment horizontal="right"/>
    </xf>
    <xf numFmtId="169" fontId="2" fillId="0" borderId="0" xfId="0" applyNumberFormat="1" applyFont="1"/>
    <xf numFmtId="169" fontId="6" fillId="0" borderId="13" xfId="0" applyNumberFormat="1" applyFont="1" applyBorder="1" applyAlignment="1">
      <alignment horizontal="center" vertical="center"/>
    </xf>
    <xf numFmtId="0" fontId="6" fillId="0" borderId="89" xfId="0" applyFont="1" applyBorder="1" applyAlignment="1">
      <alignment vertical="center"/>
    </xf>
    <xf numFmtId="3" fontId="6" fillId="0" borderId="90" xfId="0" applyNumberFormat="1" applyFont="1" applyBorder="1" applyAlignment="1">
      <alignment horizontal="center" vertical="center"/>
    </xf>
    <xf numFmtId="9" fontId="6" fillId="0" borderId="90" xfId="0" applyNumberFormat="1" applyFont="1" applyBorder="1" applyAlignment="1">
      <alignment horizontal="center" vertical="center"/>
    </xf>
    <xf numFmtId="169" fontId="16" fillId="0" borderId="90" xfId="0" applyNumberFormat="1" applyFont="1" applyBorder="1" applyAlignment="1">
      <alignment vertical="center"/>
    </xf>
    <xf numFmtId="169" fontId="6" fillId="0" borderId="91" xfId="0" applyNumberFormat="1" applyFont="1" applyBorder="1" applyAlignment="1">
      <alignment horizontal="center" vertical="center"/>
    </xf>
    <xf numFmtId="0" fontId="6" fillId="7" borderId="31" xfId="0" applyFont="1" applyFill="1" applyBorder="1" applyAlignment="1">
      <alignment vertical="center" wrapText="1"/>
    </xf>
    <xf numFmtId="0" fontId="14" fillId="0" borderId="41" xfId="0" applyFont="1" applyBorder="1"/>
    <xf numFmtId="0" fontId="15" fillId="0" borderId="32" xfId="0" applyFont="1" applyBorder="1" applyAlignment="1">
      <alignment horizontal="center" vertical="center"/>
    </xf>
    <xf numFmtId="0" fontId="6" fillId="7" borderId="33" xfId="0" applyFont="1" applyFill="1" applyBorder="1" applyAlignment="1">
      <alignment vertical="center" wrapText="1"/>
    </xf>
    <xf numFmtId="169" fontId="6" fillId="7" borderId="92" xfId="0" applyNumberFormat="1" applyFont="1" applyFill="1" applyBorder="1" applyAlignment="1">
      <alignment vertical="center"/>
    </xf>
    <xf numFmtId="3" fontId="6" fillId="0" borderId="93" xfId="0" applyNumberFormat="1" applyFont="1" applyBorder="1" applyAlignment="1">
      <alignment horizontal="center" vertical="center"/>
    </xf>
    <xf numFmtId="169" fontId="6" fillId="0" borderId="93" xfId="0" applyNumberFormat="1" applyFont="1" applyBorder="1" applyAlignment="1">
      <alignment horizontal="center" vertical="center"/>
    </xf>
    <xf numFmtId="169" fontId="6" fillId="0" borderId="93" xfId="0" applyNumberFormat="1" applyFont="1" applyBorder="1" applyAlignment="1">
      <alignment vertical="center"/>
    </xf>
    <xf numFmtId="169" fontId="6" fillId="0" borderId="36" xfId="0" applyNumberFormat="1" applyFont="1" applyBorder="1" applyAlignment="1">
      <alignment horizontal="center" vertical="center"/>
    </xf>
    <xf numFmtId="172" fontId="6" fillId="7" borderId="94" xfId="0" applyNumberFormat="1" applyFont="1" applyFill="1" applyBorder="1" applyAlignment="1">
      <alignment horizontal="center" vertical="center"/>
    </xf>
    <xf numFmtId="169" fontId="6" fillId="7" borderId="94" xfId="0" applyNumberFormat="1" applyFont="1" applyFill="1" applyBorder="1" applyAlignment="1">
      <alignment vertical="center"/>
    </xf>
    <xf numFmtId="0" fontId="7" fillId="6" borderId="98" xfId="0" applyFont="1" applyFill="1" applyBorder="1" applyAlignment="1">
      <alignment horizontal="left" vertical="center"/>
    </xf>
    <xf numFmtId="185" fontId="7" fillId="6" borderId="99" xfId="0" applyNumberFormat="1" applyFont="1" applyFill="1" applyBorder="1" applyAlignment="1">
      <alignment horizontal="center" vertical="center"/>
    </xf>
    <xf numFmtId="3" fontId="6" fillId="0" borderId="100" xfId="0" applyNumberFormat="1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167" fontId="6" fillId="0" borderId="100" xfId="0" applyNumberFormat="1" applyFont="1" applyBorder="1" applyAlignment="1">
      <alignment vertical="center"/>
    </xf>
    <xf numFmtId="10" fontId="15" fillId="0" borderId="12" xfId="0" applyNumberFormat="1" applyFont="1" applyBorder="1" applyAlignment="1">
      <alignment horizontal="center" vertical="center"/>
    </xf>
    <xf numFmtId="0" fontId="6" fillId="7" borderId="89" xfId="0" applyFont="1" applyFill="1" applyBorder="1" applyAlignment="1">
      <alignment vertical="center" wrapText="1"/>
    </xf>
    <xf numFmtId="1" fontId="6" fillId="7" borderId="90" xfId="0" applyNumberFormat="1" applyFont="1" applyFill="1" applyBorder="1" applyAlignment="1">
      <alignment horizontal="center" vertical="center"/>
    </xf>
    <xf numFmtId="10" fontId="6" fillId="7" borderId="90" xfId="0" applyNumberFormat="1" applyFont="1" applyFill="1" applyBorder="1" applyAlignment="1">
      <alignment vertical="center"/>
    </xf>
    <xf numFmtId="169" fontId="6" fillId="7" borderId="91" xfId="0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15" fillId="0" borderId="11" xfId="0" applyFont="1" applyBorder="1" applyAlignment="1">
      <alignment vertical="center"/>
    </xf>
    <xf numFmtId="169" fontId="62" fillId="0" borderId="0" xfId="0" applyNumberFormat="1" applyFont="1" applyAlignment="1">
      <alignment horizontal="center" vertical="center"/>
    </xf>
    <xf numFmtId="185" fontId="9" fillId="0" borderId="36" xfId="0" applyNumberFormat="1" applyFont="1" applyBorder="1" applyAlignment="1">
      <alignment horizontal="center" vertical="center"/>
    </xf>
    <xf numFmtId="0" fontId="63" fillId="0" borderId="31" xfId="0" applyFont="1" applyBorder="1" applyAlignment="1">
      <alignment vertical="center"/>
    </xf>
    <xf numFmtId="3" fontId="13" fillId="0" borderId="14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167" fontId="13" fillId="0" borderId="14" xfId="0" applyNumberFormat="1" applyFont="1" applyBorder="1" applyAlignment="1">
      <alignment horizontal="center" vertical="center"/>
    </xf>
    <xf numFmtId="169" fontId="6" fillId="0" borderId="15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vertical="center" wrapText="1"/>
    </xf>
    <xf numFmtId="0" fontId="6" fillId="0" borderId="14" xfId="0" applyFont="1" applyBorder="1" applyAlignment="1">
      <alignment horizontal="center" vertical="center"/>
    </xf>
    <xf numFmtId="9" fontId="6" fillId="0" borderId="14" xfId="0" applyNumberFormat="1" applyFont="1" applyBorder="1" applyAlignment="1">
      <alignment horizontal="center" vertical="center"/>
    </xf>
    <xf numFmtId="169" fontId="26" fillId="11" borderId="98" xfId="0" applyNumberFormat="1" applyFont="1" applyFill="1" applyBorder="1" applyAlignment="1">
      <alignment horizontal="left" vertical="center"/>
    </xf>
    <xf numFmtId="3" fontId="6" fillId="0" borderId="14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3" fontId="32" fillId="0" borderId="0" xfId="0" applyNumberFormat="1" applyFont="1" applyAlignment="1">
      <alignment horizontal="left" vertical="center"/>
    </xf>
    <xf numFmtId="171" fontId="6" fillId="0" borderId="14" xfId="0" applyNumberFormat="1" applyFont="1" applyBorder="1" applyAlignment="1">
      <alignment horizontal="center" vertical="center"/>
    </xf>
    <xf numFmtId="9" fontId="16" fillId="0" borderId="14" xfId="0" applyNumberFormat="1" applyFont="1" applyBorder="1" applyAlignment="1">
      <alignment vertical="center"/>
    </xf>
    <xf numFmtId="171" fontId="12" fillId="0" borderId="0" xfId="0" applyNumberFormat="1" applyFont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62" fillId="0" borderId="0" xfId="0" applyFont="1" applyAlignment="1">
      <alignment vertical="center"/>
    </xf>
    <xf numFmtId="1" fontId="15" fillId="0" borderId="4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165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70" fontId="6" fillId="0" borderId="29" xfId="0" applyNumberFormat="1" applyFont="1" applyBorder="1" applyAlignment="1">
      <alignment vertical="center"/>
    </xf>
    <xf numFmtId="0" fontId="21" fillId="7" borderId="33" xfId="0" applyFont="1" applyFill="1" applyBorder="1" applyAlignment="1">
      <alignment horizontal="right" vertical="center" wrapText="1"/>
    </xf>
    <xf numFmtId="10" fontId="22" fillId="0" borderId="94" xfId="0" applyNumberFormat="1" applyFont="1" applyBorder="1" applyAlignment="1">
      <alignment vertical="center"/>
    </xf>
    <xf numFmtId="169" fontId="23" fillId="7" borderId="92" xfId="0" applyNumberFormat="1" applyFont="1" applyFill="1" applyBorder="1" applyAlignment="1">
      <alignment vertical="center"/>
    </xf>
    <xf numFmtId="10" fontId="24" fillId="0" borderId="94" xfId="0" applyNumberFormat="1" applyFont="1" applyBorder="1" applyAlignment="1">
      <alignment vertical="center"/>
    </xf>
    <xf numFmtId="169" fontId="23" fillId="8" borderId="92" xfId="0" applyNumberFormat="1" applyFont="1" applyFill="1" applyBorder="1" applyAlignment="1">
      <alignment vertical="center"/>
    </xf>
    <xf numFmtId="169" fontId="6" fillId="7" borderId="94" xfId="0" applyNumberFormat="1" applyFont="1" applyFill="1" applyBorder="1" applyAlignment="1">
      <alignment horizontal="center" vertical="center"/>
    </xf>
    <xf numFmtId="10" fontId="16" fillId="0" borderId="94" xfId="0" applyNumberFormat="1" applyFont="1" applyBorder="1" applyAlignment="1">
      <alignment vertical="center"/>
    </xf>
    <xf numFmtId="0" fontId="7" fillId="6" borderId="40" xfId="0" applyFont="1" applyFill="1" applyBorder="1"/>
    <xf numFmtId="169" fontId="9" fillId="0" borderId="99" xfId="0" applyNumberFormat="1" applyFont="1" applyBorder="1" applyAlignment="1">
      <alignment horizontal="right" vertical="center"/>
    </xf>
    <xf numFmtId="169" fontId="26" fillId="11" borderId="96" xfId="0" applyNumberFormat="1" applyFont="1" applyFill="1" applyBorder="1" applyAlignment="1">
      <alignment horizontal="left" vertical="center"/>
    </xf>
    <xf numFmtId="171" fontId="29" fillId="0" borderId="99" xfId="0" applyNumberFormat="1" applyFont="1" applyBorder="1" applyAlignment="1">
      <alignment vertical="center"/>
    </xf>
    <xf numFmtId="0" fontId="6" fillId="7" borderId="94" xfId="0" applyFont="1" applyFill="1" applyBorder="1" applyAlignment="1">
      <alignment horizontal="center" vertical="center"/>
    </xf>
    <xf numFmtId="171" fontId="7" fillId="0" borderId="99" xfId="0" applyNumberFormat="1" applyFont="1" applyBorder="1" applyAlignment="1">
      <alignment vertical="center"/>
    </xf>
    <xf numFmtId="10" fontId="15" fillId="0" borderId="97" xfId="0" applyNumberFormat="1" applyFont="1" applyBorder="1" applyAlignment="1">
      <alignment horizontal="center" vertical="center"/>
    </xf>
    <xf numFmtId="3" fontId="16" fillId="0" borderId="94" xfId="0" applyNumberFormat="1" applyFont="1" applyBorder="1" applyAlignment="1">
      <alignment vertical="center"/>
    </xf>
    <xf numFmtId="169" fontId="6" fillId="7" borderId="92" xfId="0" applyNumberFormat="1" applyFont="1" applyFill="1" applyBorder="1" applyAlignment="1">
      <alignment horizontal="center" vertical="center"/>
    </xf>
    <xf numFmtId="3" fontId="15" fillId="0" borderId="97" xfId="0" applyNumberFormat="1" applyFont="1" applyBorder="1" applyAlignment="1">
      <alignment horizontal="center" vertical="center"/>
    </xf>
    <xf numFmtId="0" fontId="39" fillId="0" borderId="98" xfId="0" applyFont="1" applyBorder="1"/>
    <xf numFmtId="178" fontId="39" fillId="0" borderId="97" xfId="0" applyNumberFormat="1" applyFont="1" applyBorder="1" applyAlignment="1">
      <alignment horizontal="right"/>
    </xf>
    <xf numFmtId="0" fontId="38" fillId="0" borderId="98" xfId="0" applyFont="1" applyBorder="1"/>
    <xf numFmtId="178" fontId="38" fillId="0" borderId="97" xfId="0" applyNumberFormat="1" applyFont="1" applyBorder="1" applyAlignment="1">
      <alignment horizontal="right"/>
    </xf>
    <xf numFmtId="169" fontId="38" fillId="0" borderId="97" xfId="0" applyNumberFormat="1" applyFont="1" applyBorder="1" applyAlignment="1">
      <alignment horizontal="right"/>
    </xf>
    <xf numFmtId="169" fontId="37" fillId="0" borderId="99" xfId="0" applyNumberFormat="1" applyFont="1" applyBorder="1" applyAlignment="1">
      <alignment horizontal="right"/>
    </xf>
    <xf numFmtId="0" fontId="45" fillId="13" borderId="1" xfId="0" applyFont="1" applyFill="1" applyBorder="1" applyAlignment="1">
      <alignment horizontal="center" vertical="center" wrapText="1"/>
    </xf>
    <xf numFmtId="170" fontId="6" fillId="0" borderId="97" xfId="0" applyNumberFormat="1" applyFont="1" applyBorder="1"/>
    <xf numFmtId="170" fontId="6" fillId="0" borderId="99" xfId="0" applyNumberFormat="1" applyFont="1" applyBorder="1"/>
    <xf numFmtId="170" fontId="1" fillId="17" borderId="76" xfId="0" applyNumberFormat="1" applyFont="1" applyFill="1" applyBorder="1" applyAlignment="1">
      <alignment horizontal="center"/>
    </xf>
    <xf numFmtId="170" fontId="1" fillId="17" borderId="77" xfId="0" applyNumberFormat="1" applyFont="1" applyFill="1" applyBorder="1" applyAlignment="1">
      <alignment horizontal="center"/>
    </xf>
    <xf numFmtId="170" fontId="1" fillId="17" borderId="2" xfId="0" applyNumberFormat="1" applyFont="1" applyFill="1" applyBorder="1"/>
    <xf numFmtId="0" fontId="6" fillId="0" borderId="29" xfId="0" applyFont="1" applyBorder="1" applyAlignment="1">
      <alignment vertical="center"/>
    </xf>
    <xf numFmtId="169" fontId="7" fillId="6" borderId="96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vertical="center" wrapText="1"/>
    </xf>
    <xf numFmtId="9" fontId="6" fillId="0" borderId="0" xfId="0" applyNumberFormat="1" applyFont="1"/>
    <xf numFmtId="186" fontId="6" fillId="0" borderId="0" xfId="0" applyNumberFormat="1" applyFont="1"/>
    <xf numFmtId="177" fontId="6" fillId="0" borderId="0" xfId="0" applyNumberFormat="1" applyFont="1"/>
    <xf numFmtId="3" fontId="0" fillId="0" borderId="0" xfId="0" applyNumberFormat="1"/>
    <xf numFmtId="0" fontId="67" fillId="0" borderId="6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7" fillId="0" borderId="3" xfId="0" applyFont="1" applyBorder="1" applyAlignment="1">
      <alignment horizontal="center"/>
    </xf>
    <xf numFmtId="0" fontId="68" fillId="0" borderId="1" xfId="0" applyFont="1" applyBorder="1"/>
    <xf numFmtId="165" fontId="0" fillId="0" borderId="0" xfId="0" applyNumberFormat="1"/>
    <xf numFmtId="0" fontId="3" fillId="0" borderId="3" xfId="0" applyFont="1" applyBorder="1" applyAlignment="1">
      <alignment horizontal="right"/>
    </xf>
    <xf numFmtId="165" fontId="3" fillId="0" borderId="2" xfId="0" applyNumberFormat="1" applyFont="1" applyBorder="1" applyAlignment="1">
      <alignment horizontal="right"/>
    </xf>
    <xf numFmtId="165" fontId="3" fillId="0" borderId="4" xfId="0" applyNumberFormat="1" applyFont="1" applyBorder="1" applyAlignment="1">
      <alignment horizontal="right"/>
    </xf>
    <xf numFmtId="0" fontId="5" fillId="0" borderId="0" xfId="0" applyFont="1" applyAlignment="1">
      <alignment horizontal="left" vertical="center"/>
    </xf>
    <xf numFmtId="0" fontId="10" fillId="5" borderId="25" xfId="0" applyFont="1" applyFill="1" applyBorder="1" applyAlignment="1">
      <alignment horizontal="center" vertical="center"/>
    </xf>
    <xf numFmtId="0" fontId="10" fillId="6" borderId="25" xfId="0" applyFont="1" applyFill="1" applyBorder="1" applyAlignment="1">
      <alignment horizontal="center" vertical="center"/>
    </xf>
    <xf numFmtId="0" fontId="9" fillId="5" borderId="25" xfId="0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 vertical="center"/>
    </xf>
    <xf numFmtId="169" fontId="15" fillId="5" borderId="24" xfId="0" applyNumberFormat="1" applyFont="1" applyFill="1" applyBorder="1" applyAlignment="1">
      <alignment horizontal="center" vertical="center"/>
    </xf>
    <xf numFmtId="170" fontId="9" fillId="5" borderId="25" xfId="0" applyNumberFormat="1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/>
    </xf>
    <xf numFmtId="169" fontId="7" fillId="6" borderId="24" xfId="0" applyNumberFormat="1" applyFont="1" applyFill="1" applyBorder="1" applyAlignment="1">
      <alignment horizontal="center" vertical="center"/>
    </xf>
    <xf numFmtId="10" fontId="7" fillId="9" borderId="24" xfId="0" applyNumberFormat="1" applyFont="1" applyFill="1" applyBorder="1" applyAlignment="1">
      <alignment horizontal="center" vertical="center"/>
    </xf>
    <xf numFmtId="169" fontId="7" fillId="6" borderId="39" xfId="0" applyNumberFormat="1" applyFont="1" applyFill="1" applyBorder="1" applyAlignment="1">
      <alignment horizontal="center" vertical="center"/>
    </xf>
    <xf numFmtId="169" fontId="26" fillId="11" borderId="98" xfId="0" applyNumberFormat="1" applyFont="1" applyFill="1" applyBorder="1" applyAlignment="1">
      <alignment horizontal="left" vertical="center"/>
    </xf>
    <xf numFmtId="169" fontId="26" fillId="11" borderId="96" xfId="0" applyNumberFormat="1" applyFont="1" applyFill="1" applyBorder="1" applyAlignment="1">
      <alignment horizontal="right" vertical="center"/>
    </xf>
    <xf numFmtId="169" fontId="7" fillId="12" borderId="24" xfId="0" applyNumberFormat="1" applyFont="1" applyFill="1" applyBorder="1" applyAlignment="1">
      <alignment horizontal="center" vertical="center"/>
    </xf>
    <xf numFmtId="169" fontId="40" fillId="12" borderId="24" xfId="0" applyNumberFormat="1" applyFont="1" applyFill="1" applyBorder="1" applyAlignment="1">
      <alignment horizontal="center" vertical="center"/>
    </xf>
    <xf numFmtId="181" fontId="9" fillId="0" borderId="53" xfId="0" applyNumberFormat="1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170" fontId="9" fillId="0" borderId="0" xfId="0" applyNumberFormat="1" applyFont="1" applyAlignment="1">
      <alignment horizontal="center" vertical="center"/>
    </xf>
    <xf numFmtId="170" fontId="9" fillId="15" borderId="97" xfId="0" applyNumberFormat="1" applyFont="1" applyFill="1" applyBorder="1" applyAlignment="1">
      <alignment horizontal="center" vertical="center"/>
    </xf>
    <xf numFmtId="170" fontId="19" fillId="20" borderId="97" xfId="0" applyNumberFormat="1" applyFont="1" applyFill="1" applyBorder="1" applyAlignment="1">
      <alignment horizontal="center" vertical="center"/>
    </xf>
    <xf numFmtId="170" fontId="9" fillId="16" borderId="38" xfId="0" applyNumberFormat="1" applyFont="1" applyFill="1" applyBorder="1" applyAlignment="1">
      <alignment horizontal="center"/>
    </xf>
    <xf numFmtId="170" fontId="19" fillId="18" borderId="53" xfId="0" applyNumberFormat="1" applyFont="1" applyFill="1" applyBorder="1" applyAlignment="1">
      <alignment horizontal="center"/>
    </xf>
    <xf numFmtId="170" fontId="19" fillId="17" borderId="97" xfId="0" applyNumberFormat="1" applyFont="1" applyFill="1" applyBorder="1" applyAlignment="1">
      <alignment horizontal="center" vertical="center"/>
    </xf>
    <xf numFmtId="170" fontId="19" fillId="18" borderId="38" xfId="0" applyNumberFormat="1" applyFont="1" applyFill="1" applyBorder="1" applyAlignment="1">
      <alignment horizontal="center"/>
    </xf>
    <xf numFmtId="170" fontId="9" fillId="21" borderId="38" xfId="0" applyNumberFormat="1" applyFont="1" applyFill="1" applyBorder="1" applyAlignment="1">
      <alignment horizontal="center"/>
    </xf>
    <xf numFmtId="170" fontId="15" fillId="18" borderId="38" xfId="0" applyNumberFormat="1" applyFont="1" applyFill="1" applyBorder="1" applyAlignment="1">
      <alignment horizontal="center"/>
    </xf>
    <xf numFmtId="170" fontId="15" fillId="21" borderId="38" xfId="0" applyNumberFormat="1" applyFont="1" applyFill="1" applyBorder="1" applyAlignment="1">
      <alignment horizontal="center"/>
    </xf>
    <xf numFmtId="170" fontId="9" fillId="22" borderId="38" xfId="0" applyNumberFormat="1" applyFont="1" applyFill="1" applyBorder="1" applyAlignment="1">
      <alignment horizontal="center"/>
    </xf>
    <xf numFmtId="10" fontId="6" fillId="16" borderId="53" xfId="0" applyNumberFormat="1" applyFont="1" applyFill="1" applyBorder="1" applyAlignment="1">
      <alignment horizontal="center"/>
    </xf>
    <xf numFmtId="170" fontId="50" fillId="17" borderId="52" xfId="0" applyNumberFormat="1" applyFont="1" applyFill="1" applyBorder="1" applyAlignment="1">
      <alignment horizontal="center" vertical="center" textRotation="90"/>
    </xf>
    <xf numFmtId="170" fontId="49" fillId="0" borderId="0" xfId="0" applyNumberFormat="1" applyFont="1" applyAlignment="1">
      <alignment horizontal="center"/>
    </xf>
    <xf numFmtId="170" fontId="15" fillId="15" borderId="52" xfId="0" applyNumberFormat="1" applyFont="1" applyFill="1" applyBorder="1" applyAlignment="1">
      <alignment horizontal="center" vertical="center" wrapText="1"/>
    </xf>
    <xf numFmtId="170" fontId="15" fillId="16" borderId="38" xfId="0" applyNumberFormat="1" applyFont="1" applyFill="1" applyBorder="1" applyAlignment="1">
      <alignment horizontal="center"/>
    </xf>
    <xf numFmtId="0" fontId="53" fillId="25" borderId="0" xfId="0" applyFont="1" applyFill="1" applyAlignment="1">
      <alignment horizontal="center" vertical="center"/>
    </xf>
    <xf numFmtId="170" fontId="9" fillId="0" borderId="53" xfId="0" applyNumberFormat="1" applyFont="1" applyBorder="1" applyAlignment="1">
      <alignment horizontal="center"/>
    </xf>
    <xf numFmtId="170" fontId="9" fillId="15" borderId="74" xfId="0" applyNumberFormat="1" applyFont="1" applyFill="1" applyBorder="1" applyAlignment="1">
      <alignment horizontal="center"/>
    </xf>
    <xf numFmtId="170" fontId="57" fillId="17" borderId="74" xfId="0" applyNumberFormat="1" applyFont="1" applyFill="1" applyBorder="1" applyAlignment="1">
      <alignment horizontal="center" vertical="center"/>
    </xf>
    <xf numFmtId="170" fontId="15" fillId="15" borderId="75" xfId="0" applyNumberFormat="1" applyFont="1" applyFill="1" applyBorder="1" applyAlignment="1">
      <alignment horizontal="center" vertical="center" wrapText="1"/>
    </xf>
    <xf numFmtId="170" fontId="15" fillId="6" borderId="38" xfId="0" applyNumberFormat="1" applyFont="1" applyFill="1" applyBorder="1" applyAlignment="1">
      <alignment horizontal="center"/>
    </xf>
    <xf numFmtId="170" fontId="15" fillId="29" borderId="38" xfId="0" applyNumberFormat="1" applyFont="1" applyFill="1" applyBorder="1" applyAlignment="1">
      <alignment horizontal="center"/>
    </xf>
    <xf numFmtId="170" fontId="15" fillId="15" borderId="69" xfId="0" applyNumberFormat="1" applyFont="1" applyFill="1" applyBorder="1" applyAlignment="1">
      <alignment horizontal="center" wrapText="1"/>
    </xf>
    <xf numFmtId="0" fontId="5" fillId="0" borderId="0" xfId="0" applyFont="1" applyAlignment="1">
      <alignment horizontal="right" vertical="center"/>
    </xf>
    <xf numFmtId="169" fontId="7" fillId="6" borderId="95" xfId="0" applyNumberFormat="1" applyFont="1" applyFill="1" applyBorder="1" applyAlignment="1">
      <alignment horizontal="center" vertical="center"/>
    </xf>
    <xf numFmtId="0" fontId="64" fillId="0" borderId="0" xfId="0" applyFont="1" applyAlignment="1">
      <alignment horizontal="right" vertical="center"/>
    </xf>
    <xf numFmtId="0" fontId="0" fillId="0" borderId="0" xfId="0" applyAlignment="1"/>
    <xf numFmtId="0" fontId="11" fillId="0" borderId="5" xfId="0" applyFont="1" applyBorder="1" applyAlignment="1"/>
    <xf numFmtId="0" fontId="11" fillId="0" borderId="26" xfId="0" applyFont="1" applyBorder="1" applyAlignment="1"/>
    <xf numFmtId="0" fontId="11" fillId="0" borderId="38" xfId="0" applyFont="1" applyBorder="1" applyAlignment="1"/>
    <xf numFmtId="0" fontId="11" fillId="0" borderId="99" xfId="0" applyFont="1" applyBorder="1" applyAlignment="1"/>
    <xf numFmtId="0" fontId="11" fillId="0" borderId="97" xfId="0" applyFont="1" applyBorder="1" applyAlignment="1"/>
    <xf numFmtId="0" fontId="11" fillId="0" borderId="98" xfId="0" applyFont="1" applyBorder="1" applyAlignment="1"/>
    <xf numFmtId="0" fontId="11" fillId="0" borderId="96" xfId="0" applyFont="1" applyBorder="1" applyAlignment="1"/>
    <xf numFmtId="0" fontId="11" fillId="0" borderId="53" xfId="0" applyFont="1" applyBorder="1" applyAlignment="1"/>
    <xf numFmtId="0" fontId="11" fillId="0" borderId="4" xfId="0" applyFont="1" applyBorder="1" applyAlignment="1"/>
    <xf numFmtId="0" fontId="11" fillId="0" borderId="52" xfId="0" applyFont="1" applyBorder="1" applyAlignment="1"/>
    <xf numFmtId="0" fontId="11" fillId="0" borderId="54" xfId="0" applyFont="1" applyBorder="1" applyAlignment="1"/>
    <xf numFmtId="0" fontId="11" fillId="0" borderId="30" xfId="0" applyFont="1" applyBorder="1" applyAlignment="1"/>
    <xf numFmtId="0" fontId="11" fillId="0" borderId="67" xfId="0" applyFont="1" applyBorder="1" applyAlignment="1"/>
    <xf numFmtId="170" fontId="6" fillId="16" borderId="53" xfId="0" applyNumberFormat="1" applyFont="1" applyFill="1" applyBorder="1" applyAlignment="1"/>
    <xf numFmtId="0" fontId="11" fillId="0" borderId="75" xfId="0" applyFont="1" applyBorder="1" applyAlignment="1"/>
    <xf numFmtId="0" fontId="11" fillId="0" borderId="78" xfId="0" applyFont="1" applyBorder="1" applyAlignment="1"/>
    <xf numFmtId="0" fontId="11" fillId="0" borderId="79" xfId="0" applyFont="1" applyBorder="1" applyAlignment="1"/>
    <xf numFmtId="0" fontId="11" fillId="0" borderId="80" xfId="0" applyFont="1" applyBorder="1" applyAlignment="1"/>
    <xf numFmtId="0" fontId="11" fillId="0" borderId="82" xfId="0" applyFont="1" applyBorder="1" applyAlignment="1"/>
    <xf numFmtId="0" fontId="11" fillId="0" borderId="86" xfId="0" applyFont="1" applyBorder="1" applyAlignment="1"/>
    <xf numFmtId="0" fontId="61" fillId="4" borderId="0" xfId="0" applyFont="1" applyFill="1" applyAlignment="1"/>
  </cellXfs>
  <cellStyles count="1">
    <cellStyle name="Normální" xfId="0" builtinId="0"/>
  </cellStyles>
  <dxfs count="25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B7E1CD"/>
          <bgColor rgb="FFB7E1CD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10600" cy="6276975"/>
    <xdr:pic>
      <xdr:nvPicPr>
        <xdr:cNvPr id="1991038548" name="Visualization1" title="Vizualizace">
          <a:extLst>
            <a:ext uri="{FF2B5EF4-FFF2-40B4-BE49-F238E27FC236}">
              <a16:creationId xmlns:a16="http://schemas.microsoft.com/office/drawing/2014/main" id="{00000000-0008-0000-0400-000054D6AC76}"/>
            </a:ext>
            <a:ext uri="GoogleSheetsCustomDataVersion1">
              <go:sheetsCustomData xmlns:go="http://customooxmlschemas.google.com/" xmlns:sle15="http://schemas.microsoft.com/office/drawing/2012/slicer" xmlns:x3Unk="http://schemas.microsoft.com/office/drawing/2010/slicer" xmlns:dgm="http://schemas.openxmlformats.org/drawingml/2006/diagram" xmlns:mc="http://schemas.openxmlformats.org/markup-compatibility/2006" xmlns:cx1="http://schemas.microsoft.com/office/drawing/2015/9/8/chartex" xmlns:cx="http://schemas.microsoft.com/office/drawing/2014/chartex" xmlns:c="http://schemas.openxmlformats.org/drawingml/2006/chart" xmlns:r="http://schemas.openxmlformats.org/officeDocument/2006/relationships" xmlns="" pictureOfVisualization="1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ocs.google.com/spreadsheets/d/1lvYc4mI4ryq7JLpcUddXMQhqn_IQ0sN8rbqQMgt2KR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MG"/>
    </sheetNames>
    <sheetDataSet>
      <sheetData sheetId="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Dmitry Egorov" id="{F5891313-2FAB-4F76-846A-FA908DCDE4DD}" userId="S::dmitry.egorov@ldparks.cz::6916219c-bff8-47c2-8c39-d3b782e180eb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6-01-13T11:34:27.39" personId="{F5891313-2FAB-4F76-846A-FA908DCDE4DD}" id="{FAE26FF2-D3A8-4AB3-B712-A2AAAAC91B35}">
    <text>02.2026</text>
  </threadedComment>
  <threadedComment ref="B4" dT="2026-01-13T11:34:27.39" personId="{F5891313-2FAB-4F76-846A-FA908DCDE4DD}" id="{B132347C-0A65-4AF8-B296-7858D0B0EE3A}">
    <text>02.2026</text>
  </threadedComment>
  <threadedComment ref="D4" dT="2025-10-21T10:08:14.66" personId="{F5891313-2FAB-4F76-846A-FA908DCDE4DD}" id="{3109D1A4-CA57-4C56-B817-C465DBBCBE0C}">
    <text>Teta</text>
  </threadedComment>
  <threadedComment ref="B6" dT="2026-01-13T11:34:49.72" personId="{F5891313-2FAB-4F76-846A-FA908DCDE4DD}" id="{B069E7A4-26E2-4603-81E2-EC445057B34A}">
    <text>03.2026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"/>
  <sheetViews>
    <sheetView zoomScale="101" workbookViewId="0">
      <selection activeCell="F18" sqref="F18"/>
    </sheetView>
  </sheetViews>
  <sheetFormatPr defaultColWidth="12.625" defaultRowHeight="15" customHeight="1"/>
  <cols>
    <col min="1" max="3" width="7.625" customWidth="1"/>
    <col min="4" max="4" width="20.625" customWidth="1"/>
    <col min="5" max="5" width="12" customWidth="1"/>
    <col min="6" max="6" width="10.625" customWidth="1"/>
    <col min="7" max="7" width="9.125" customWidth="1"/>
    <col min="8" max="8" width="22.125" customWidth="1"/>
    <col min="9" max="9" width="25.125" customWidth="1"/>
    <col min="10" max="10" width="14" customWidth="1"/>
    <col min="11" max="11" width="10.625" customWidth="1"/>
    <col min="12" max="12" width="19.625" customWidth="1"/>
    <col min="13" max="13" width="14.375" customWidth="1"/>
    <col min="14" max="14" width="10.625" customWidth="1"/>
    <col min="15" max="15" width="20.875" customWidth="1"/>
    <col min="16" max="16" width="11.125" customWidth="1"/>
    <col min="17" max="25" width="10.625" customWidth="1"/>
    <col min="26" max="26" width="12" customWidth="1"/>
    <col min="27" max="29" width="10.625" customWidth="1"/>
  </cols>
  <sheetData>
    <row r="1" spans="1:26" ht="13.5" customHeight="1">
      <c r="A1" s="507" t="s">
        <v>0</v>
      </c>
      <c r="B1" s="507" t="s">
        <v>1</v>
      </c>
      <c r="C1" s="507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3"/>
      <c r="W1" s="3"/>
      <c r="X1" s="3"/>
      <c r="Y1" s="3"/>
      <c r="Z1" s="4" t="s">
        <v>21</v>
      </c>
    </row>
    <row r="2" spans="1:26" ht="13.5" customHeight="1">
      <c r="A2" s="508" t="b">
        <v>0</v>
      </c>
      <c r="B2" s="508" t="b">
        <v>0</v>
      </c>
      <c r="C2" s="508" t="b">
        <v>0</v>
      </c>
      <c r="D2" s="4" t="s">
        <v>22</v>
      </c>
      <c r="E2" s="5" t="s">
        <v>21</v>
      </c>
      <c r="F2" s="6">
        <v>1250</v>
      </c>
      <c r="G2" s="7" t="s">
        <v>23</v>
      </c>
      <c r="H2" s="8">
        <v>12.5</v>
      </c>
      <c r="I2" s="9">
        <f t="shared" ref="I2:I11" si="0">H2*$E$20</f>
        <v>312.5</v>
      </c>
      <c r="J2" s="9">
        <f t="shared" ref="J2:J11" si="1">F2*I2</f>
        <v>390625</v>
      </c>
      <c r="K2" s="9">
        <f t="shared" ref="K2:K11" si="2">J2*0.21</f>
        <v>82031.25</v>
      </c>
      <c r="L2" s="10">
        <f>0.5*E20</f>
        <v>12.5</v>
      </c>
      <c r="M2" s="9">
        <f t="shared" ref="M2:M5" si="3">L2*F2</f>
        <v>15625</v>
      </c>
      <c r="N2" s="9">
        <f t="shared" ref="N2:N11" si="4">M2*0.21</f>
        <v>3281.25</v>
      </c>
      <c r="O2" s="9">
        <f t="shared" ref="O2:O11" si="5">J2+M2</f>
        <v>406250</v>
      </c>
      <c r="P2" s="9">
        <f t="shared" ref="P2:P11" si="6">SUM(J2:N2)</f>
        <v>491575</v>
      </c>
      <c r="Q2" s="4"/>
      <c r="R2" s="4"/>
      <c r="S2" s="4"/>
      <c r="T2" s="4"/>
      <c r="U2" s="4"/>
      <c r="V2" s="3"/>
      <c r="W2" s="3"/>
      <c r="X2" s="3"/>
      <c r="Y2" s="3"/>
      <c r="Z2" s="4" t="s">
        <v>24</v>
      </c>
    </row>
    <row r="3" spans="1:26" ht="13.5" customHeight="1">
      <c r="A3" s="508" t="b">
        <v>0</v>
      </c>
      <c r="B3" s="508" t="b">
        <v>0</v>
      </c>
      <c r="C3" s="508" t="b">
        <v>0</v>
      </c>
      <c r="D3" s="11" t="s">
        <v>25</v>
      </c>
      <c r="E3" s="12" t="s">
        <v>24</v>
      </c>
      <c r="F3" s="13">
        <v>545</v>
      </c>
      <c r="G3" s="14" t="s">
        <v>23</v>
      </c>
      <c r="H3" s="15">
        <v>10</v>
      </c>
      <c r="I3" s="9">
        <f t="shared" si="0"/>
        <v>250</v>
      </c>
      <c r="J3" s="9">
        <f t="shared" si="1"/>
        <v>136250</v>
      </c>
      <c r="K3" s="16">
        <f t="shared" si="2"/>
        <v>28612.5</v>
      </c>
      <c r="L3" s="10">
        <f t="shared" ref="L3:L5" si="7">1.5*$E$20</f>
        <v>37.5</v>
      </c>
      <c r="M3" s="9">
        <f t="shared" si="3"/>
        <v>20437.5</v>
      </c>
      <c r="N3" s="9">
        <f t="shared" si="4"/>
        <v>4291.875</v>
      </c>
      <c r="O3" s="16">
        <f t="shared" si="5"/>
        <v>156687.5</v>
      </c>
      <c r="P3" s="16">
        <f t="shared" si="6"/>
        <v>189629.375</v>
      </c>
      <c r="Q3" s="4"/>
      <c r="R3" s="4"/>
      <c r="S3" s="4"/>
      <c r="T3" s="4"/>
      <c r="U3" s="4"/>
      <c r="V3" s="3"/>
      <c r="W3" s="3"/>
      <c r="X3" s="3"/>
      <c r="Y3" s="3"/>
      <c r="Z3" s="4" t="s">
        <v>26</v>
      </c>
    </row>
    <row r="4" spans="1:26" ht="13.5" customHeight="1">
      <c r="A4" s="508" t="b">
        <v>0</v>
      </c>
      <c r="B4" s="508" t="b">
        <v>0</v>
      </c>
      <c r="C4" s="508" t="b">
        <v>0</v>
      </c>
      <c r="D4" s="11" t="s">
        <v>27</v>
      </c>
      <c r="E4" s="12" t="s">
        <v>24</v>
      </c>
      <c r="F4" s="13">
        <v>220</v>
      </c>
      <c r="G4" s="14" t="s">
        <v>23</v>
      </c>
      <c r="H4" s="15">
        <v>9</v>
      </c>
      <c r="I4" s="9">
        <f t="shared" si="0"/>
        <v>225</v>
      </c>
      <c r="J4" s="9">
        <f t="shared" si="1"/>
        <v>49500</v>
      </c>
      <c r="K4" s="16">
        <f t="shared" si="2"/>
        <v>10395</v>
      </c>
      <c r="L4" s="10">
        <f t="shared" si="7"/>
        <v>37.5</v>
      </c>
      <c r="M4" s="9">
        <f t="shared" si="3"/>
        <v>8250</v>
      </c>
      <c r="N4" s="9">
        <f t="shared" si="4"/>
        <v>1732.5</v>
      </c>
      <c r="O4" s="16">
        <f t="shared" si="5"/>
        <v>57750</v>
      </c>
      <c r="P4" s="16">
        <f t="shared" si="6"/>
        <v>69915</v>
      </c>
      <c r="Q4" s="4"/>
      <c r="R4" s="4"/>
      <c r="S4" s="4"/>
      <c r="T4" s="4"/>
      <c r="U4" s="4"/>
      <c r="V4" s="3"/>
      <c r="W4" s="3"/>
      <c r="X4" s="3"/>
      <c r="Y4" s="3"/>
      <c r="Z4" s="3"/>
    </row>
    <row r="5" spans="1:26" ht="13.5" customHeight="1">
      <c r="A5" s="508" t="b">
        <v>0</v>
      </c>
      <c r="B5" s="508" t="b">
        <v>0</v>
      </c>
      <c r="C5" s="508" t="b">
        <v>0</v>
      </c>
      <c r="D5" s="11" t="s">
        <v>25</v>
      </c>
      <c r="E5" s="12" t="s">
        <v>24</v>
      </c>
      <c r="F5" s="512">
        <v>70</v>
      </c>
      <c r="G5" s="14" t="s">
        <v>23</v>
      </c>
      <c r="H5" s="18">
        <v>20</v>
      </c>
      <c r="I5" s="513">
        <f t="shared" si="0"/>
        <v>500</v>
      </c>
      <c r="J5" s="513">
        <f t="shared" si="1"/>
        <v>35000</v>
      </c>
      <c r="K5" s="514">
        <f t="shared" si="2"/>
        <v>7350</v>
      </c>
      <c r="L5" s="10">
        <f t="shared" si="7"/>
        <v>37.5</v>
      </c>
      <c r="M5" s="513">
        <f t="shared" si="3"/>
        <v>2625</v>
      </c>
      <c r="N5" s="513">
        <f t="shared" si="4"/>
        <v>551.25</v>
      </c>
      <c r="O5" s="514">
        <f t="shared" si="5"/>
        <v>37625</v>
      </c>
      <c r="P5" s="514">
        <f t="shared" si="6"/>
        <v>45563.75</v>
      </c>
      <c r="Q5" s="4"/>
      <c r="R5" s="4"/>
      <c r="S5" s="4"/>
      <c r="T5" s="4"/>
      <c r="U5" s="4"/>
      <c r="V5" s="3"/>
      <c r="W5" s="3"/>
      <c r="X5" s="3"/>
      <c r="Y5" s="3"/>
      <c r="Z5" s="3"/>
    </row>
    <row r="6" spans="1:26" ht="13.5" customHeight="1">
      <c r="A6" s="508" t="b">
        <v>0</v>
      </c>
      <c r="B6" s="508" t="b">
        <v>0</v>
      </c>
      <c r="C6" s="508" t="b">
        <v>0</v>
      </c>
      <c r="D6" s="11" t="s">
        <v>28</v>
      </c>
      <c r="E6" s="12" t="s">
        <v>24</v>
      </c>
      <c r="F6" s="13">
        <v>45</v>
      </c>
      <c r="G6" s="14" t="s">
        <v>23</v>
      </c>
      <c r="H6" s="15">
        <v>40</v>
      </c>
      <c r="I6" s="9">
        <f t="shared" si="0"/>
        <v>1000</v>
      </c>
      <c r="J6" s="9">
        <f t="shared" si="1"/>
        <v>45000</v>
      </c>
      <c r="K6" s="16">
        <f t="shared" si="2"/>
        <v>9450</v>
      </c>
      <c r="L6" s="10">
        <f>M6/F6</f>
        <v>66.666666666666671</v>
      </c>
      <c r="M6" s="9">
        <v>3000</v>
      </c>
      <c r="N6" s="9">
        <f t="shared" si="4"/>
        <v>630</v>
      </c>
      <c r="O6" s="16">
        <f t="shared" si="5"/>
        <v>48000</v>
      </c>
      <c r="P6" s="16">
        <f t="shared" si="6"/>
        <v>58146.666666666664</v>
      </c>
      <c r="Q6" s="4"/>
      <c r="R6" s="4"/>
      <c r="S6" s="4"/>
      <c r="T6" s="4"/>
      <c r="U6" s="4"/>
      <c r="V6" s="3"/>
      <c r="W6" s="3"/>
      <c r="X6" s="3"/>
      <c r="Y6" s="3"/>
      <c r="Z6" s="3"/>
    </row>
    <row r="7" spans="1:26" ht="13.5" customHeight="1">
      <c r="A7" s="508" t="b">
        <v>0</v>
      </c>
      <c r="B7" s="508" t="b">
        <v>0</v>
      </c>
      <c r="C7" s="508" t="b">
        <v>0</v>
      </c>
      <c r="D7" s="11" t="s">
        <v>29</v>
      </c>
      <c r="E7" s="12" t="s">
        <v>26</v>
      </c>
      <c r="F7" s="17">
        <v>0</v>
      </c>
      <c r="G7" s="14" t="s">
        <v>23</v>
      </c>
      <c r="H7" s="21">
        <v>0</v>
      </c>
      <c r="I7" s="19">
        <f t="shared" si="0"/>
        <v>0</v>
      </c>
      <c r="J7" s="19">
        <f t="shared" si="1"/>
        <v>0</v>
      </c>
      <c r="K7" s="20">
        <f t="shared" si="2"/>
        <v>0</v>
      </c>
      <c r="L7" s="10">
        <v>0</v>
      </c>
      <c r="M7" s="19">
        <f t="shared" ref="M7:M11" si="8">L7*F7</f>
        <v>0</v>
      </c>
      <c r="N7" s="19">
        <f t="shared" si="4"/>
        <v>0</v>
      </c>
      <c r="O7" s="20">
        <f t="shared" si="5"/>
        <v>0</v>
      </c>
      <c r="P7" s="16">
        <f t="shared" si="6"/>
        <v>0</v>
      </c>
      <c r="Q7" s="4"/>
      <c r="R7" s="4"/>
      <c r="S7" s="4"/>
      <c r="T7" s="4"/>
      <c r="U7" s="4"/>
      <c r="V7" s="3"/>
      <c r="W7" s="3"/>
      <c r="X7" s="3"/>
      <c r="Y7" s="3"/>
      <c r="Z7" s="3"/>
    </row>
    <row r="8" spans="1:26" ht="13.5" customHeight="1">
      <c r="A8" s="508" t="b">
        <v>0</v>
      </c>
      <c r="B8" s="508" t="b">
        <v>0</v>
      </c>
      <c r="C8" s="508" t="b">
        <v>0</v>
      </c>
      <c r="D8" s="11" t="s">
        <v>30</v>
      </c>
      <c r="E8" s="12" t="s">
        <v>26</v>
      </c>
      <c r="F8" s="12">
        <v>1</v>
      </c>
      <c r="G8" s="22" t="s">
        <v>23</v>
      </c>
      <c r="H8" s="18">
        <v>134.63</v>
      </c>
      <c r="I8" s="19">
        <f t="shared" si="0"/>
        <v>3365.75</v>
      </c>
      <c r="J8" s="19">
        <f t="shared" si="1"/>
        <v>3365.75</v>
      </c>
      <c r="K8" s="20">
        <f t="shared" si="2"/>
        <v>706.8075</v>
      </c>
      <c r="L8" s="19">
        <v>0</v>
      </c>
      <c r="M8" s="19">
        <f t="shared" si="8"/>
        <v>0</v>
      </c>
      <c r="N8" s="20">
        <f t="shared" si="4"/>
        <v>0</v>
      </c>
      <c r="O8" s="20">
        <f t="shared" si="5"/>
        <v>3365.75</v>
      </c>
      <c r="P8" s="20">
        <f t="shared" si="6"/>
        <v>4072.5574999999999</v>
      </c>
      <c r="Q8" s="4"/>
      <c r="R8" s="4"/>
      <c r="S8" s="4"/>
      <c r="T8" s="4"/>
      <c r="U8" s="4"/>
      <c r="V8" s="3"/>
      <c r="W8" s="3"/>
      <c r="X8" s="3"/>
      <c r="Y8" s="3"/>
      <c r="Z8" s="3"/>
    </row>
    <row r="9" spans="1:26" ht="13.5" customHeight="1">
      <c r="A9" s="508" t="b">
        <v>0</v>
      </c>
      <c r="B9" s="508" t="b">
        <v>0</v>
      </c>
      <c r="C9" s="508" t="b">
        <v>0</v>
      </c>
      <c r="D9" s="11"/>
      <c r="E9" s="12"/>
      <c r="F9" s="12"/>
      <c r="G9" s="22" t="s">
        <v>23</v>
      </c>
      <c r="H9" s="7"/>
      <c r="I9" s="19">
        <f t="shared" si="0"/>
        <v>0</v>
      </c>
      <c r="J9" s="19">
        <f t="shared" si="1"/>
        <v>0</v>
      </c>
      <c r="K9" s="20">
        <f t="shared" si="2"/>
        <v>0</v>
      </c>
      <c r="L9" s="19">
        <v>0</v>
      </c>
      <c r="M9" s="19">
        <f t="shared" si="8"/>
        <v>0</v>
      </c>
      <c r="N9" s="20">
        <f t="shared" si="4"/>
        <v>0</v>
      </c>
      <c r="O9" s="20">
        <f t="shared" si="5"/>
        <v>0</v>
      </c>
      <c r="P9" s="20">
        <f t="shared" si="6"/>
        <v>0</v>
      </c>
      <c r="Q9" s="4"/>
      <c r="R9" s="4"/>
      <c r="S9" s="4"/>
      <c r="T9" s="4"/>
      <c r="U9" s="4"/>
      <c r="V9" s="3"/>
      <c r="W9" s="3"/>
      <c r="X9" s="3"/>
      <c r="Y9" s="3"/>
      <c r="Z9" s="3"/>
    </row>
    <row r="10" spans="1:26" ht="13.5" customHeight="1">
      <c r="A10" s="508" t="b">
        <v>0</v>
      </c>
      <c r="B10" s="508" t="b">
        <v>0</v>
      </c>
      <c r="C10" s="508" t="b">
        <v>0</v>
      </c>
      <c r="D10" s="11"/>
      <c r="E10" s="12"/>
      <c r="F10" s="12"/>
      <c r="G10" s="22" t="s">
        <v>23</v>
      </c>
      <c r="H10" s="7"/>
      <c r="I10" s="19">
        <f t="shared" si="0"/>
        <v>0</v>
      </c>
      <c r="J10" s="19">
        <f t="shared" si="1"/>
        <v>0</v>
      </c>
      <c r="K10" s="20">
        <f t="shared" si="2"/>
        <v>0</v>
      </c>
      <c r="L10" s="19">
        <v>0</v>
      </c>
      <c r="M10" s="19">
        <f t="shared" si="8"/>
        <v>0</v>
      </c>
      <c r="N10" s="20">
        <f t="shared" si="4"/>
        <v>0</v>
      </c>
      <c r="O10" s="20">
        <f t="shared" si="5"/>
        <v>0</v>
      </c>
      <c r="P10" s="20">
        <f t="shared" si="6"/>
        <v>0</v>
      </c>
      <c r="Q10" s="4"/>
      <c r="R10" s="4"/>
      <c r="S10" s="4"/>
      <c r="T10" s="4"/>
      <c r="U10" s="4"/>
      <c r="V10" s="3"/>
      <c r="W10" s="3"/>
      <c r="X10" s="3"/>
      <c r="Y10" s="3"/>
      <c r="Z10" s="3"/>
    </row>
    <row r="11" spans="1:26" ht="13.5" customHeight="1">
      <c r="A11" s="509"/>
      <c r="B11" s="509"/>
      <c r="C11" s="509"/>
      <c r="D11" s="11"/>
      <c r="E11" s="12"/>
      <c r="F11" s="12"/>
      <c r="G11" s="12" t="s">
        <v>23</v>
      </c>
      <c r="H11" s="7"/>
      <c r="I11" s="19">
        <f t="shared" si="0"/>
        <v>0</v>
      </c>
      <c r="J11" s="19">
        <f t="shared" si="1"/>
        <v>0</v>
      </c>
      <c r="K11" s="20">
        <f t="shared" si="2"/>
        <v>0</v>
      </c>
      <c r="L11" s="19">
        <v>0</v>
      </c>
      <c r="M11" s="19">
        <f t="shared" si="8"/>
        <v>0</v>
      </c>
      <c r="N11" s="20">
        <f t="shared" si="4"/>
        <v>0</v>
      </c>
      <c r="O11" s="20">
        <f t="shared" si="5"/>
        <v>0</v>
      </c>
      <c r="P11" s="20">
        <f t="shared" si="6"/>
        <v>0</v>
      </c>
      <c r="Q11" s="23" t="s">
        <v>31</v>
      </c>
      <c r="R11" s="4"/>
      <c r="S11" s="4"/>
      <c r="T11" s="4"/>
      <c r="U11" s="4"/>
      <c r="V11" s="3"/>
      <c r="W11" s="3"/>
      <c r="X11" s="3"/>
      <c r="Y11" s="3"/>
      <c r="Z11" s="3"/>
    </row>
    <row r="12" spans="1:26" ht="13.5" customHeight="1">
      <c r="A12" s="510"/>
      <c r="B12" s="510"/>
      <c r="C12" s="510"/>
      <c r="D12" s="25" t="s">
        <v>32</v>
      </c>
      <c r="E12" s="5"/>
      <c r="F12" s="467">
        <f>SUM(F2:F11)</f>
        <v>2131</v>
      </c>
      <c r="G12" s="5"/>
      <c r="H12" s="5"/>
      <c r="I12" s="5"/>
      <c r="J12" s="468">
        <f t="shared" ref="J12:K12" si="9">SUM(J2:J11)</f>
        <v>659740.75</v>
      </c>
      <c r="K12" s="468">
        <f t="shared" si="9"/>
        <v>138545.5575</v>
      </c>
      <c r="L12" s="24"/>
      <c r="M12" s="468">
        <f t="shared" ref="M12:P12" si="10">SUM(M2:M11)</f>
        <v>49937.5</v>
      </c>
      <c r="N12" s="468">
        <f t="shared" si="10"/>
        <v>10486.875</v>
      </c>
      <c r="O12" s="468">
        <f t="shared" si="10"/>
        <v>709678.25</v>
      </c>
      <c r="P12" s="468">
        <f t="shared" si="10"/>
        <v>858902.34916666662</v>
      </c>
      <c r="Q12" s="469" t="s">
        <v>31</v>
      </c>
      <c r="R12" s="5"/>
      <c r="S12" s="5"/>
      <c r="T12" s="5"/>
      <c r="U12" s="5"/>
      <c r="V12" s="3"/>
      <c r="W12" s="3"/>
      <c r="X12" s="3"/>
      <c r="Y12" s="3"/>
      <c r="Z12" s="3"/>
    </row>
    <row r="13" spans="1:26" ht="13.5" customHeight="1">
      <c r="D13" s="25" t="s">
        <v>33</v>
      </c>
      <c r="E13" s="4"/>
      <c r="F13" s="4"/>
      <c r="G13" s="4"/>
      <c r="H13" s="4"/>
      <c r="I13" s="4"/>
      <c r="J13" s="26">
        <f>J12*12</f>
        <v>7916889</v>
      </c>
      <c r="K13" s="4"/>
      <c r="L13" s="4"/>
      <c r="M13" s="26">
        <f>M12*12</f>
        <v>599250</v>
      </c>
      <c r="N13" s="4"/>
      <c r="O13" s="26">
        <f>J13+M13</f>
        <v>8516139</v>
      </c>
      <c r="P13" s="4"/>
      <c r="Q13" s="4"/>
      <c r="R13" s="4"/>
      <c r="S13" s="4"/>
      <c r="T13" s="4"/>
      <c r="U13" s="4"/>
      <c r="V13" s="3"/>
      <c r="W13" s="3"/>
      <c r="X13" s="3"/>
      <c r="Y13" s="3"/>
      <c r="Z13" s="3"/>
    </row>
    <row r="14" spans="1:26" ht="13.5" customHeight="1"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5" customHeight="1">
      <c r="D15" s="3" t="s">
        <v>34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>
      <c r="D16" s="3" t="s">
        <v>35</v>
      </c>
      <c r="E16" s="3" t="str">
        <f>IF(F11=Businessplan_pravo_stavby!J17,"OK","ERROR")</f>
        <v>ERROR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4:13" ht="13.5" customHeight="1">
      <c r="D17" s="3" t="s">
        <v>36</v>
      </c>
      <c r="E17" s="3" t="str">
        <f>IF(O13=Businessplan_pravo_stavby!N17,"OK","ERROR")</f>
        <v>ERROR</v>
      </c>
      <c r="M17" s="511"/>
    </row>
    <row r="18" spans="4:13" ht="13.5" customHeight="1">
      <c r="D18" s="3" t="s">
        <v>37</v>
      </c>
      <c r="E18" s="27">
        <f>(F11)/Businessplan_prodej!D8</f>
        <v>0</v>
      </c>
    </row>
    <row r="19" spans="4:13" ht="13.5" customHeight="1">
      <c r="D19" s="3" t="s">
        <v>38</v>
      </c>
      <c r="E19" s="27">
        <v>0.35</v>
      </c>
    </row>
    <row r="20" spans="4:13" ht="13.5" customHeight="1">
      <c r="D20" s="3" t="s">
        <v>39</v>
      </c>
      <c r="E20" s="28">
        <v>25</v>
      </c>
    </row>
  </sheetData>
  <conditionalFormatting sqref="D2:G10">
    <cfRule type="cellIs" dxfId="24" priority="3" operator="equal">
      <formula>0</formula>
    </cfRule>
  </conditionalFormatting>
  <conditionalFormatting sqref="K2:K10 N2:N10 H2:J11 L2:M11 O3:P10">
    <cfRule type="cellIs" dxfId="23" priority="4" operator="equal">
      <formula>0</formula>
    </cfRule>
  </conditionalFormatting>
  <dataValidations count="1">
    <dataValidation type="list" allowBlank="1" showErrorMessage="1" sqref="E2:E11" xr:uid="{00000000-0002-0000-0000-000000000000}">
      <formula1>$Z$1:$Z$3</formula1>
    </dataValidation>
  </dataValidations>
  <pageMargins left="0.7" right="0.7" top="0.75" bottom="0.75" header="0" footer="0"/>
  <pageSetup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B1:CF164"/>
  <sheetViews>
    <sheetView workbookViewId="0">
      <pane xSplit="3" ySplit="4" topLeftCell="D5" activePane="bottomRight" state="frozen"/>
      <selection pane="bottomRight" activeCell="D5" sqref="D5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2" max="84" width="12.625" outlineLevel="1"/>
  </cols>
  <sheetData>
    <row r="1" spans="2:83">
      <c r="B1" s="230" t="s">
        <v>172</v>
      </c>
      <c r="C1" s="231">
        <v>45716</v>
      </c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 t="s">
        <v>173</v>
      </c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29"/>
      <c r="CB1" s="229"/>
      <c r="CC1" s="229"/>
      <c r="CD1" s="229"/>
      <c r="CE1" s="229"/>
    </row>
    <row r="2" spans="2:83">
      <c r="B2" s="545" t="s">
        <v>174</v>
      </c>
      <c r="C2" s="564"/>
      <c r="D2" s="495"/>
      <c r="E2" s="530">
        <v>45292</v>
      </c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8"/>
      <c r="Q2" s="531">
        <v>2025</v>
      </c>
      <c r="R2" s="567"/>
      <c r="S2" s="567"/>
      <c r="T2" s="567"/>
      <c r="U2" s="567"/>
      <c r="V2" s="567"/>
      <c r="W2" s="567"/>
      <c r="X2" s="567"/>
      <c r="Y2" s="567"/>
      <c r="Z2" s="567"/>
      <c r="AA2" s="567"/>
      <c r="AB2" s="568"/>
      <c r="AC2" s="531">
        <v>2026</v>
      </c>
      <c r="AD2" s="567"/>
      <c r="AE2" s="567"/>
      <c r="AF2" s="567"/>
      <c r="AG2" s="567"/>
      <c r="AH2" s="567"/>
      <c r="AI2" s="567"/>
      <c r="AJ2" s="567"/>
      <c r="AK2" s="567"/>
      <c r="AL2" s="567"/>
      <c r="AM2" s="567"/>
      <c r="AN2" s="568"/>
      <c r="AO2" s="530">
        <v>46388</v>
      </c>
      <c r="AP2" s="567"/>
      <c r="AQ2" s="567"/>
      <c r="AR2" s="567"/>
      <c r="AS2" s="567"/>
      <c r="AT2" s="567"/>
      <c r="AU2" s="567"/>
      <c r="AV2" s="567"/>
      <c r="AW2" s="567"/>
      <c r="AX2" s="567"/>
      <c r="AY2" s="567"/>
      <c r="AZ2" s="568"/>
      <c r="BA2" s="530">
        <v>46753</v>
      </c>
      <c r="BB2" s="567"/>
      <c r="BC2" s="567"/>
      <c r="BD2" s="567"/>
      <c r="BE2" s="567"/>
      <c r="BF2" s="567"/>
      <c r="BG2" s="567"/>
      <c r="BH2" s="567"/>
      <c r="BI2" s="567"/>
      <c r="BJ2" s="567"/>
      <c r="BK2" s="567"/>
      <c r="BL2" s="568"/>
      <c r="BM2" s="530">
        <v>47119</v>
      </c>
      <c r="BN2" s="567"/>
      <c r="BO2" s="567"/>
      <c r="BP2" s="567"/>
      <c r="BQ2" s="567"/>
      <c r="BR2" s="567"/>
      <c r="BS2" s="567"/>
      <c r="BT2" s="567"/>
      <c r="BU2" s="567"/>
      <c r="BV2" s="567"/>
      <c r="BW2" s="567"/>
      <c r="BX2" s="568"/>
      <c r="BY2" s="532" t="s">
        <v>175</v>
      </c>
      <c r="BZ2" s="564"/>
      <c r="CA2" s="229"/>
      <c r="CB2" s="229"/>
      <c r="CC2" s="229"/>
      <c r="CD2" s="229"/>
      <c r="CE2" s="229"/>
    </row>
    <row r="3" spans="2:83">
      <c r="B3" s="559"/>
      <c r="C3" s="564"/>
      <c r="D3" s="495"/>
      <c r="E3" s="233" t="str">
        <f>IFERROR(VLOOKUP(TEXT(E4,"mm.yyyy"),HMG!$B$2:$C$1001, 2, FALSE),"")</f>
        <v>zapis KS</v>
      </c>
      <c r="F3" s="233" t="str">
        <f>IFERROR(VLOOKUP(TEXT(F4,"mm.yyyy"),HMG!$B$2:$C$1001, 2, FALSE),"")</f>
        <v/>
      </c>
      <c r="G3" s="233" t="str">
        <f>IFERROR(VLOOKUP(TEXT(G4,"mm.yyyy"),HMG!$B$2:$C$1001, 2, FALSE),"")</f>
        <v/>
      </c>
      <c r="H3" s="233" t="str">
        <f>IFERROR(VLOOKUP(TEXT(H4,"mm.yyyy"),HMG!$B$2:$C$1001, 2, FALSE),"")</f>
        <v/>
      </c>
      <c r="I3" s="233" t="str">
        <f>IFERROR(VLOOKUP(TEXT(I4,"mm.yyyy"),HMG!$B$2:$C$1001, 2, FALSE),"")</f>
        <v/>
      </c>
      <c r="J3" s="233" t="str">
        <f>IFERROR(VLOOKUP(TEXT(J4,"mm.yyyy"),HMG!$B$2:$C$1001, 2, FALSE),"")</f>
        <v/>
      </c>
      <c r="K3" s="233" t="str">
        <f>IFERROR(VLOOKUP(TEXT(K4,"mm.yyyy"),HMG!$B$2:$C$1001, 2, FALSE),"")</f>
        <v/>
      </c>
      <c r="L3" s="233" t="str">
        <f>IFERROR(VLOOKUP(TEXT(L4,"mm.yyyy"),HMG!$B$2:$C$1001, 2, FALSE),"")</f>
        <v/>
      </c>
      <c r="M3" s="233" t="str">
        <f>IFERROR(VLOOKUP(TEXT(M4,"mm.yyyy"),HMG!$B$2:$C$1001, 2, FALSE),"")</f>
        <v/>
      </c>
      <c r="N3" s="233" t="str">
        <f>IFERROR(VLOOKUP(TEXT(N4,"mm.yyyy"),HMG!$B$2:$C$1001, 2, FALSE),"")</f>
        <v/>
      </c>
      <c r="O3" s="233" t="str">
        <f>IFERROR(VLOOKUP(TEXT(O4,"mm.yyyy"),HMG!$B$2:$C$1001, 2, FALSE),"")</f>
        <v/>
      </c>
      <c r="P3" s="233" t="str">
        <f>IFERROR(VLOOKUP(TEXT(P4,"mm.yyyy"),HMG!$B$2:$C$1001, 2, FALSE),"")</f>
        <v/>
      </c>
      <c r="Q3" s="233" t="str">
        <f>IFERROR(VLOOKUP(TEXT(Q4,"mm.yyyy"),HMG!$B$2:$C$1001, 2, FALSE),"")</f>
        <v>zapis KS</v>
      </c>
      <c r="R3" s="233" t="str">
        <f>IFERROR(VLOOKUP(TEXT(R4,"mm.yyyy"),HMG!$B$2:$C$1001, 2, FALSE),"")</f>
        <v/>
      </c>
      <c r="S3" s="233" t="str">
        <f>IFERROR(VLOOKUP(TEXT(S4,"mm.yyyy"),HMG!$B$2:$C$1001, 2, FALSE),"")</f>
        <v/>
      </c>
      <c r="T3" s="233" t="str">
        <f>IFERROR(VLOOKUP(TEXT(T4,"mm.yyyy"),HMG!$B$2:$C$1001, 2, FALSE),"")</f>
        <v/>
      </c>
      <c r="U3" s="233" t="str">
        <f>IFERROR(VLOOKUP(TEXT(U4,"mm.yyyy"),HMG!$B$2:$C$1001, 2, FALSE),"")</f>
        <v/>
      </c>
      <c r="V3" s="233" t="str">
        <f>IFERROR(VLOOKUP(TEXT(V4,"mm.yyyy"),HMG!$B$2:$C$1001, 2, FALSE),"")</f>
        <v/>
      </c>
      <c r="W3" s="233" t="str">
        <f>IFERROR(VLOOKUP(TEXT(W4,"mm.yyyy"),HMG!$B$2:$C$1001, 2, FALSE),"")</f>
        <v/>
      </c>
      <c r="X3" s="233" t="str">
        <f>IFERROR(VLOOKUP(TEXT(X4,"mm.yyyy"),HMG!$B$2:$C$1001, 2, FALSE),"")</f>
        <v/>
      </c>
      <c r="Y3" s="233" t="str">
        <f>IFERROR(VLOOKUP(TEXT(Y4,"mm.yyyy"),HMG!$B$2:$C$1001, 2, FALSE),"")</f>
        <v/>
      </c>
      <c r="Z3" s="233" t="str">
        <f>IFERROR(VLOOKUP(TEXT(Z4,"mm.yyyy"),HMG!$B$2:$C$1001, 2, FALSE),"")</f>
        <v/>
      </c>
      <c r="AA3" s="233" t="str">
        <f>IFERROR(VLOOKUP(TEXT(AA4,"mm.yyyy"),HMG!$B$2:$C$1001, 2, FALSE),"")</f>
        <v/>
      </c>
      <c r="AB3" s="233" t="str">
        <f>IFERROR(VLOOKUP(TEXT(AB4,"mm.yyyy"),HMG!$B$2:$C$1001, 2, FALSE),"")</f>
        <v/>
      </c>
      <c r="AC3" s="233" t="str">
        <f>IFERROR(VLOOKUP(TEXT(AC4,"mm.yyyy"),HMG!$B$2:$C$1001, 2, FALSE),"")</f>
        <v>zapis KS</v>
      </c>
      <c r="AD3" s="233" t="str">
        <f>IFERROR(VLOOKUP(TEXT(AD4,"mm.yyyy"),HMG!$B$2:$C$1001, 2, FALSE),"")</f>
        <v/>
      </c>
      <c r="AE3" s="233" t="str">
        <f>IFERROR(VLOOKUP(TEXT(AE4,"mm.yyyy"),HMG!$B$2:$C$1001, 2, FALSE),"")</f>
        <v/>
      </c>
      <c r="AF3" s="233" t="str">
        <f>IFERROR(VLOOKUP(TEXT(AF4,"mm.yyyy"),HMG!$B$2:$C$1001, 2, FALSE),"")</f>
        <v/>
      </c>
      <c r="AG3" s="233" t="str">
        <f>IFERROR(VLOOKUP(TEXT(AG4,"mm.yyyy"),HMG!$B$2:$C$1001, 2, FALSE),"")</f>
        <v/>
      </c>
      <c r="AH3" s="233" t="str">
        <f>IFERROR(VLOOKUP(TEXT(AH4,"mm.yyyy"),HMG!$B$2:$C$1001, 2, FALSE),"")</f>
        <v/>
      </c>
      <c r="AI3" s="233" t="str">
        <f>IFERROR(VLOOKUP(TEXT(AI4,"mm.yyyy"),HMG!$B$2:$C$1001, 2, FALSE),"")</f>
        <v/>
      </c>
      <c r="AJ3" s="233" t="str">
        <f>IFERROR(VLOOKUP(TEXT(AJ4,"mm.yyyy"),HMG!$B$2:$C$1001, 2, FALSE),"")</f>
        <v/>
      </c>
      <c r="AK3" s="233" t="str">
        <f>IFERROR(VLOOKUP(TEXT(AK4,"mm.yyyy"),HMG!$B$2:$C$1001, 2, FALSE),"")</f>
        <v/>
      </c>
      <c r="AL3" s="233" t="str">
        <f>IFERROR(VLOOKUP(TEXT(AL4,"mm.yyyy"),HMG!$B$2:$C$1001, 2, FALSE),"")</f>
        <v/>
      </c>
      <c r="AM3" s="233" t="str">
        <f>IFERROR(VLOOKUP(TEXT(AM4,"mm.yyyy"),HMG!$B$2:$C$1001, 2, FALSE),"")</f>
        <v/>
      </c>
      <c r="AN3" s="233" t="str">
        <f>IFERROR(VLOOKUP(TEXT(AN4,"mm.yyyy"),HMG!$B$2:$C$1001, 2, FALSE),"")</f>
        <v/>
      </c>
      <c r="AO3" s="233" t="str">
        <f>IFERROR(VLOOKUP(TEXT(AO4,"mm.yyyy"),HMG!$B$2:$C$1001, 2, FALSE),"")</f>
        <v>zapis KS</v>
      </c>
      <c r="AP3" s="233" t="str">
        <f>IFERROR(VLOOKUP(TEXT(AP4,"mm.yyyy"),HMG!$B$2:$C$1001, 2, FALSE),"")</f>
        <v/>
      </c>
      <c r="AQ3" s="233" t="str">
        <f>IFERROR(VLOOKUP(TEXT(AQ4,"mm.yyyy"),HMG!$B$2:$C$1001, 2, FALSE),"")</f>
        <v/>
      </c>
      <c r="AR3" s="233" t="str">
        <f>IFERROR(VLOOKUP(TEXT(AR4,"mm.yyyy"),HMG!$B$2:$C$1001, 2, FALSE),"")</f>
        <v/>
      </c>
      <c r="AS3" s="233" t="str">
        <f>IFERROR(VLOOKUP(TEXT(AS4,"mm.yyyy"),HMG!$B$2:$C$1001, 2, FALSE),"")</f>
        <v/>
      </c>
      <c r="AT3" s="233" t="str">
        <f>IFERROR(VLOOKUP(TEXT(AT4,"mm.yyyy"),HMG!$B$2:$C$1001, 2, FALSE),"")</f>
        <v/>
      </c>
      <c r="AU3" s="233" t="str">
        <f>IFERROR(VLOOKUP(TEXT(AU4,"mm.yyyy"),HMG!$B$2:$C$1001, 2, FALSE),"")</f>
        <v/>
      </c>
      <c r="AV3" s="233" t="str">
        <f>IFERROR(VLOOKUP(TEXT(AV4,"mm.yyyy"),HMG!$B$2:$C$1001, 2, FALSE),"")</f>
        <v/>
      </c>
      <c r="AW3" s="233" t="str">
        <f>IFERROR(VLOOKUP(TEXT(AW4,"mm.yyyy"),HMG!$B$2:$C$1001, 2, FALSE),"")</f>
        <v/>
      </c>
      <c r="AX3" s="233" t="str">
        <f>IFERROR(VLOOKUP(TEXT(AX4,"mm.yyyy"),HMG!$B$2:$C$1001, 2, FALSE),"")</f>
        <v/>
      </c>
      <c r="AY3" s="233" t="str">
        <f>IFERROR(VLOOKUP(TEXT(AY4,"mm.yyyy"),HMG!$B$2:$C$1001, 2, FALSE),"")</f>
        <v/>
      </c>
      <c r="AZ3" s="233" t="str">
        <f>IFERROR(VLOOKUP(TEXT(AZ4,"mm.yyyy"),HMG!$B$2:$C$1001, 2, FALSE),"")</f>
        <v/>
      </c>
      <c r="BA3" s="233" t="str">
        <f>IFERROR(VLOOKUP(TEXT(BA4,"mm.yyyy"),HMG!$B$2:$C$1001, 2, FALSE),"")</f>
        <v>zapis KS</v>
      </c>
      <c r="BB3" s="233" t="str">
        <f>IFERROR(VLOOKUP(TEXT(BB4,"mm.yyyy"),HMG!$B$2:$C$1001, 2, FALSE),"")</f>
        <v/>
      </c>
      <c r="BC3" s="233" t="str">
        <f>IFERROR(VLOOKUP(TEXT(BC4,"mm.yyyy"),HMG!$B$2:$C$1001, 2, FALSE),"")</f>
        <v/>
      </c>
      <c r="BD3" s="233" t="str">
        <f>IFERROR(VLOOKUP(TEXT(BD4,"mm.yyyy"),HMG!$B$2:$C$1001, 2, FALSE),"")</f>
        <v/>
      </c>
      <c r="BE3" s="233" t="str">
        <f>IFERROR(VLOOKUP(TEXT(BE4,"mm.yyyy"),HMG!$B$2:$C$1001, 2, FALSE),"")</f>
        <v/>
      </c>
      <c r="BF3" s="233" t="str">
        <f>IFERROR(VLOOKUP(TEXT(BF4,"mm.yyyy"),HMG!$B$2:$C$1001, 2, FALSE),"")</f>
        <v/>
      </c>
      <c r="BG3" s="233" t="str">
        <f>IFERROR(VLOOKUP(TEXT(BG4,"mm.yyyy"),HMG!$B$2:$C$1001, 2, FALSE),"")</f>
        <v/>
      </c>
      <c r="BH3" s="233" t="str">
        <f>IFERROR(VLOOKUP(TEXT(BH4,"mm.yyyy"),HMG!$B$2:$C$1001, 2, FALSE),"")</f>
        <v/>
      </c>
      <c r="BI3" s="233" t="str">
        <f>IFERROR(VLOOKUP(TEXT(BI4,"mm.yyyy"),HMG!$B$2:$C$1001, 2, FALSE),"")</f>
        <v/>
      </c>
      <c r="BJ3" s="233" t="str">
        <f>IFERROR(VLOOKUP(TEXT(BJ4,"mm.yyyy"),HMG!$B$2:$C$1001, 2, FALSE),"")</f>
        <v/>
      </c>
      <c r="BK3" s="233" t="str">
        <f>IFERROR(VLOOKUP(TEXT(BK4,"mm.yyyy"),HMG!$B$2:$C$1001, 2, FALSE),"")</f>
        <v/>
      </c>
      <c r="BL3" s="233" t="str">
        <f>IFERROR(VLOOKUP(TEXT(BL4,"mm.yyyy"),HMG!$B$2:$C$1001, 2, FALSE),"")</f>
        <v/>
      </c>
      <c r="BM3" s="233" t="str">
        <f>IFERROR(VLOOKUP(TEXT(BM4,"mm.yyyy"),HMG!$B$2:$C$1001, 2, FALSE),"")</f>
        <v>zapis KS</v>
      </c>
      <c r="BN3" s="233" t="str">
        <f>IFERROR(VLOOKUP(TEXT(BN4,"mm.yyyy"),HMG!$B$2:$C$1001, 2, FALSE),"")</f>
        <v/>
      </c>
      <c r="BO3" s="233" t="str">
        <f>IFERROR(VLOOKUP(TEXT(BO4,"mm.yyyy"),HMG!$B$2:$C$1001, 2, FALSE),"")</f>
        <v/>
      </c>
      <c r="BP3" s="233" t="str">
        <f>IFERROR(VLOOKUP(TEXT(BP4,"mm.yyyy"),HMG!$B$2:$C$1001, 2, FALSE),"")</f>
        <v/>
      </c>
      <c r="BQ3" s="233" t="str">
        <f>IFERROR(VLOOKUP(TEXT(BQ4,"mm.yyyy"),HMG!$B$2:$C$1001, 2, FALSE),"")</f>
        <v/>
      </c>
      <c r="BR3" s="233" t="str">
        <f>IFERROR(VLOOKUP(TEXT(BR4,"mm.yyyy"),HMG!$B$2:$C$1001, 2, FALSE),"")</f>
        <v/>
      </c>
      <c r="BS3" s="233" t="str">
        <f>IFERROR(VLOOKUP(TEXT(BS4,"mm.yyyy"),HMG!$B$2:$C$1001, 2, FALSE),"")</f>
        <v/>
      </c>
      <c r="BT3" s="233" t="str">
        <f>IFERROR(VLOOKUP(TEXT(BT4,"mm.yyyy"),HMG!$B$2:$C$1001, 2, FALSE),"")</f>
        <v/>
      </c>
      <c r="BU3" s="233" t="str">
        <f>IFERROR(VLOOKUP(TEXT(BU4,"mm.yyyy"),HMG!$B$2:$C$1001, 2, FALSE),"")</f>
        <v/>
      </c>
      <c r="BV3" s="233" t="str">
        <f>IFERROR(VLOOKUP(TEXT(BV4,"mm.yyyy"),HMG!$B$2:$C$1001, 2, FALSE),"")</f>
        <v/>
      </c>
      <c r="BW3" s="233" t="str">
        <f>IFERROR(VLOOKUP(TEXT(BW4,"mm.yyyy"),HMG!$B$2:$C$1001, 2, FALSE),"")</f>
        <v/>
      </c>
      <c r="BX3" s="233" t="str">
        <f>IFERROR(VLOOKUP(TEXT(BX4,"mm.yyyy"),HMG!$B$2:$C$1001, 2, FALSE),"")</f>
        <v/>
      </c>
      <c r="BY3" s="559"/>
      <c r="BZ3" s="564"/>
      <c r="CA3" s="229"/>
      <c r="CB3" s="229"/>
      <c r="CC3" s="229"/>
      <c r="CD3" s="229" t="s">
        <v>176</v>
      </c>
      <c r="CE3" s="229" t="s">
        <v>177</v>
      </c>
    </row>
    <row r="4" spans="2:83">
      <c r="B4" s="562"/>
      <c r="C4" s="563"/>
      <c r="D4" s="496"/>
      <c r="E4" s="234">
        <v>45292</v>
      </c>
      <c r="F4" s="234">
        <v>45323</v>
      </c>
      <c r="G4" s="234">
        <v>45352</v>
      </c>
      <c r="H4" s="234">
        <v>45383</v>
      </c>
      <c r="I4" s="234">
        <v>45413</v>
      </c>
      <c r="J4" s="234">
        <v>45444</v>
      </c>
      <c r="K4" s="234">
        <v>45474</v>
      </c>
      <c r="L4" s="234">
        <v>45505</v>
      </c>
      <c r="M4" s="234">
        <v>45536</v>
      </c>
      <c r="N4" s="234">
        <v>45566</v>
      </c>
      <c r="O4" s="234">
        <v>45597</v>
      </c>
      <c r="P4" s="234">
        <v>45627</v>
      </c>
      <c r="Q4" s="234">
        <v>45658</v>
      </c>
      <c r="R4" s="234">
        <v>45689</v>
      </c>
      <c r="S4" s="234">
        <v>45717</v>
      </c>
      <c r="T4" s="234">
        <v>45748</v>
      </c>
      <c r="U4" s="234">
        <v>45778</v>
      </c>
      <c r="V4" s="234">
        <v>45809</v>
      </c>
      <c r="W4" s="234">
        <v>45839</v>
      </c>
      <c r="X4" s="234">
        <v>45870</v>
      </c>
      <c r="Y4" s="234">
        <v>45901</v>
      </c>
      <c r="Z4" s="234">
        <v>45931</v>
      </c>
      <c r="AA4" s="234">
        <v>45962</v>
      </c>
      <c r="AB4" s="234">
        <v>45992</v>
      </c>
      <c r="AC4" s="234">
        <v>46023</v>
      </c>
      <c r="AD4" s="234">
        <v>46054</v>
      </c>
      <c r="AE4" s="234">
        <v>46082</v>
      </c>
      <c r="AF4" s="234">
        <v>46113</v>
      </c>
      <c r="AG4" s="234">
        <v>46143</v>
      </c>
      <c r="AH4" s="234">
        <v>46174</v>
      </c>
      <c r="AI4" s="234">
        <v>46204</v>
      </c>
      <c r="AJ4" s="234">
        <v>46235</v>
      </c>
      <c r="AK4" s="234">
        <v>46266</v>
      </c>
      <c r="AL4" s="234">
        <v>46296</v>
      </c>
      <c r="AM4" s="234">
        <v>46327</v>
      </c>
      <c r="AN4" s="234">
        <v>46357</v>
      </c>
      <c r="AO4" s="234">
        <v>46388</v>
      </c>
      <c r="AP4" s="234">
        <v>46419</v>
      </c>
      <c r="AQ4" s="234">
        <v>46447</v>
      </c>
      <c r="AR4" s="234">
        <v>46478</v>
      </c>
      <c r="AS4" s="234">
        <v>46508</v>
      </c>
      <c r="AT4" s="234">
        <v>46539</v>
      </c>
      <c r="AU4" s="234">
        <v>46569</v>
      </c>
      <c r="AV4" s="234">
        <v>46600</v>
      </c>
      <c r="AW4" s="234">
        <v>46631</v>
      </c>
      <c r="AX4" s="234">
        <v>46661</v>
      </c>
      <c r="AY4" s="234">
        <v>46692</v>
      </c>
      <c r="AZ4" s="234">
        <v>46722</v>
      </c>
      <c r="BA4" s="234">
        <v>46753</v>
      </c>
      <c r="BB4" s="234">
        <v>46784</v>
      </c>
      <c r="BC4" s="234">
        <v>46813</v>
      </c>
      <c r="BD4" s="234">
        <v>46844</v>
      </c>
      <c r="BE4" s="234">
        <v>46874</v>
      </c>
      <c r="BF4" s="234">
        <v>46905</v>
      </c>
      <c r="BG4" s="234">
        <v>46935</v>
      </c>
      <c r="BH4" s="234">
        <v>46966</v>
      </c>
      <c r="BI4" s="234">
        <v>46997</v>
      </c>
      <c r="BJ4" s="234">
        <v>47027</v>
      </c>
      <c r="BK4" s="234">
        <v>47058</v>
      </c>
      <c r="BL4" s="234">
        <v>47088</v>
      </c>
      <c r="BM4" s="234">
        <v>47119</v>
      </c>
      <c r="BN4" s="234">
        <v>47150</v>
      </c>
      <c r="BO4" s="234">
        <v>47178</v>
      </c>
      <c r="BP4" s="234">
        <v>47209</v>
      </c>
      <c r="BQ4" s="234">
        <v>47239</v>
      </c>
      <c r="BR4" s="234">
        <v>47270</v>
      </c>
      <c r="BS4" s="234">
        <v>47300</v>
      </c>
      <c r="BT4" s="234">
        <v>47331</v>
      </c>
      <c r="BU4" s="234">
        <v>47362</v>
      </c>
      <c r="BV4" s="234">
        <v>47392</v>
      </c>
      <c r="BW4" s="234">
        <v>47423</v>
      </c>
      <c r="BX4" s="234">
        <v>47453</v>
      </c>
      <c r="BY4" s="562"/>
      <c r="BZ4" s="563"/>
      <c r="CA4" s="229"/>
      <c r="CB4" s="229"/>
      <c r="CC4" s="229"/>
      <c r="CD4" s="229" t="s">
        <v>158</v>
      </c>
      <c r="CE4" s="229"/>
    </row>
    <row r="5" spans="2:83">
      <c r="B5" s="546" t="s">
        <v>178</v>
      </c>
      <c r="C5" s="235" t="s">
        <v>286</v>
      </c>
      <c r="D5" s="236" t="s">
        <v>180</v>
      </c>
      <c r="E5" s="237"/>
      <c r="F5" s="238"/>
      <c r="G5" s="238"/>
      <c r="H5" s="238"/>
      <c r="I5" s="238">
        <v>87324</v>
      </c>
      <c r="J5" s="238">
        <v>100000</v>
      </c>
      <c r="K5" s="238">
        <f>-3400000</f>
        <v>-3400000</v>
      </c>
      <c r="L5" s="238">
        <f>150000+4850000+1000+23500</f>
        <v>5024500</v>
      </c>
      <c r="M5" s="238">
        <v>1000</v>
      </c>
      <c r="N5" s="238">
        <v>80000</v>
      </c>
      <c r="O5" s="238">
        <f>21000+10000</f>
        <v>31000</v>
      </c>
      <c r="P5" s="238"/>
      <c r="Q5" s="238"/>
      <c r="R5" s="238"/>
      <c r="S5" s="238"/>
      <c r="T5" s="238"/>
      <c r="U5" s="238">
        <v>4016306</v>
      </c>
      <c r="V5" s="238"/>
      <c r="W5" s="238"/>
      <c r="X5" s="238">
        <v>500000</v>
      </c>
      <c r="Y5" s="238"/>
      <c r="Z5" s="238">
        <f>2000000-X5</f>
        <v>1500000</v>
      </c>
      <c r="AA5" s="238"/>
      <c r="AB5" s="238">
        <v>100000</v>
      </c>
      <c r="AC5" s="238">
        <v>250000</v>
      </c>
      <c r="AD5" s="238"/>
      <c r="AE5" s="238"/>
      <c r="AF5" s="238"/>
      <c r="AG5" s="238">
        <v>1770000</v>
      </c>
      <c r="AH5" s="238">
        <v>1850000</v>
      </c>
      <c r="AI5" s="238">
        <v>770000</v>
      </c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9"/>
      <c r="BY5" s="240">
        <f t="shared" ref="BY5:BY16" si="0">SUM(E5:BX5)</f>
        <v>12680130</v>
      </c>
      <c r="BZ5" s="533">
        <f>SUM(BY5:BY8)</f>
        <v>55277832</v>
      </c>
      <c r="CA5" s="229">
        <f>BZ5/4</f>
        <v>13819458</v>
      </c>
      <c r="CB5" s="248"/>
      <c r="CC5" s="229"/>
      <c r="CD5" s="240">
        <f t="shared" ref="CD5:CD14" si="1">SUM(H5:CC5)</f>
        <v>94457550</v>
      </c>
      <c r="CE5" s="533">
        <f>SUM(CD5:CD8)</f>
        <v>179652954.22938907</v>
      </c>
    </row>
    <row r="6" spans="2:83">
      <c r="B6" s="569"/>
      <c r="C6" s="241" t="s">
        <v>287</v>
      </c>
      <c r="D6" s="236" t="s">
        <v>180</v>
      </c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>
        <v>3994008</v>
      </c>
      <c r="Q6" s="238">
        <f t="shared" ref="Q6:R6" si="2">Q5</f>
        <v>0</v>
      </c>
      <c r="R6" s="238">
        <f t="shared" si="2"/>
        <v>0</v>
      </c>
      <c r="S6" s="238">
        <v>560000</v>
      </c>
      <c r="T6" s="238"/>
      <c r="U6" s="238">
        <v>19083694</v>
      </c>
      <c r="V6" s="238">
        <f>V5</f>
        <v>0</v>
      </c>
      <c r="W6" s="238"/>
      <c r="X6" s="238"/>
      <c r="Y6" s="238"/>
      <c r="Z6" s="238"/>
      <c r="AA6" s="238"/>
      <c r="AB6" s="238">
        <f t="shared" ref="AB6:AL6" si="3">AB5*4</f>
        <v>400000</v>
      </c>
      <c r="AC6" s="238">
        <f t="shared" si="3"/>
        <v>1000000</v>
      </c>
      <c r="AD6" s="238">
        <f t="shared" si="3"/>
        <v>0</v>
      </c>
      <c r="AE6" s="238">
        <f t="shared" si="3"/>
        <v>0</v>
      </c>
      <c r="AF6" s="238">
        <f t="shared" si="3"/>
        <v>0</v>
      </c>
      <c r="AG6" s="238">
        <f t="shared" si="3"/>
        <v>7080000</v>
      </c>
      <c r="AH6" s="238">
        <f t="shared" si="3"/>
        <v>7400000</v>
      </c>
      <c r="AI6" s="238">
        <f t="shared" si="3"/>
        <v>3080000</v>
      </c>
      <c r="AJ6" s="238">
        <f t="shared" si="3"/>
        <v>0</v>
      </c>
      <c r="AK6" s="238">
        <f t="shared" si="3"/>
        <v>0</v>
      </c>
      <c r="AL6" s="238">
        <f t="shared" si="3"/>
        <v>0</v>
      </c>
      <c r="AM6" s="238"/>
      <c r="AN6" s="238"/>
      <c r="AO6" s="238"/>
      <c r="AP6" s="238"/>
      <c r="AQ6" s="238"/>
      <c r="AR6" s="238"/>
      <c r="AS6" s="238"/>
      <c r="AT6" s="238"/>
      <c r="AU6" s="238"/>
      <c r="AV6" s="238"/>
      <c r="AW6" s="238"/>
      <c r="AX6" s="238"/>
      <c r="AY6" s="238"/>
      <c r="AZ6" s="238"/>
      <c r="BA6" s="238"/>
      <c r="BB6" s="238"/>
      <c r="BC6" s="238"/>
      <c r="BD6" s="238"/>
      <c r="BE6" s="238"/>
      <c r="BF6" s="238"/>
      <c r="BG6" s="238"/>
      <c r="BH6" s="238"/>
      <c r="BI6" s="238"/>
      <c r="BJ6" s="238"/>
      <c r="BK6" s="238"/>
      <c r="BL6" s="238"/>
      <c r="BM6" s="238"/>
      <c r="BN6" s="238"/>
      <c r="BO6" s="238"/>
      <c r="BP6" s="238"/>
      <c r="BQ6" s="238"/>
      <c r="BR6" s="238"/>
      <c r="BS6" s="238"/>
      <c r="BT6" s="238"/>
      <c r="BU6" s="238"/>
      <c r="BV6" s="238"/>
      <c r="BW6" s="238"/>
      <c r="BX6" s="235"/>
      <c r="BY6" s="240">
        <f t="shared" si="0"/>
        <v>42597702</v>
      </c>
      <c r="BZ6" s="564"/>
      <c r="CA6" s="248">
        <f>BY5/BZ5</f>
        <v>0.22938906142339302</v>
      </c>
      <c r="CB6" s="248"/>
      <c r="CC6" s="229"/>
      <c r="CD6" s="240">
        <f t="shared" si="1"/>
        <v>85195404.229389057</v>
      </c>
      <c r="CE6" s="564"/>
    </row>
    <row r="7" spans="2:83">
      <c r="B7" s="569"/>
      <c r="C7" s="241" t="s">
        <v>182</v>
      </c>
      <c r="D7" s="236" t="s">
        <v>180</v>
      </c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  <c r="T7" s="238"/>
      <c r="U7" s="238"/>
      <c r="V7" s="238"/>
      <c r="W7" s="238"/>
      <c r="X7" s="238"/>
      <c r="Y7" s="238"/>
      <c r="Z7" s="238"/>
      <c r="AA7" s="238"/>
      <c r="AB7" s="238"/>
      <c r="AC7" s="238"/>
      <c r="AD7" s="238"/>
      <c r="AE7" s="238"/>
      <c r="AF7" s="238"/>
      <c r="AG7" s="238"/>
      <c r="AH7" s="238"/>
      <c r="AI7" s="238"/>
      <c r="AJ7" s="238"/>
      <c r="AK7" s="238"/>
      <c r="AL7" s="238"/>
      <c r="AM7" s="238"/>
      <c r="AN7" s="238"/>
      <c r="AO7" s="238"/>
      <c r="AP7" s="238"/>
      <c r="AQ7" s="238"/>
      <c r="AR7" s="238"/>
      <c r="AS7" s="238"/>
      <c r="AT7" s="238"/>
      <c r="AU7" s="238"/>
      <c r="AV7" s="238"/>
      <c r="AW7" s="238"/>
      <c r="AX7" s="238"/>
      <c r="AY7" s="238"/>
      <c r="AZ7" s="238"/>
      <c r="BA7" s="238"/>
      <c r="BB7" s="238"/>
      <c r="BC7" s="238"/>
      <c r="BD7" s="238"/>
      <c r="BE7" s="238"/>
      <c r="BF7" s="238"/>
      <c r="BG7" s="238"/>
      <c r="BH7" s="238"/>
      <c r="BI7" s="238"/>
      <c r="BJ7" s="238"/>
      <c r="BK7" s="238"/>
      <c r="BL7" s="238"/>
      <c r="BM7" s="238"/>
      <c r="BN7" s="238"/>
      <c r="BO7" s="238"/>
      <c r="BP7" s="238"/>
      <c r="BQ7" s="238"/>
      <c r="BR7" s="238"/>
      <c r="BS7" s="238"/>
      <c r="BT7" s="238"/>
      <c r="BU7" s="238"/>
      <c r="BV7" s="238"/>
      <c r="BW7" s="238"/>
      <c r="BX7" s="235"/>
      <c r="BY7" s="240">
        <f t="shared" si="0"/>
        <v>0</v>
      </c>
      <c r="BZ7" s="564"/>
      <c r="CA7" s="229"/>
      <c r="CB7" s="229"/>
      <c r="CC7" s="229"/>
      <c r="CD7" s="240">
        <f t="shared" si="1"/>
        <v>0</v>
      </c>
      <c r="CE7" s="564"/>
    </row>
    <row r="8" spans="2:83">
      <c r="B8" s="570"/>
      <c r="C8" s="241" t="s">
        <v>183</v>
      </c>
      <c r="D8" s="242" t="s">
        <v>180</v>
      </c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341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1"/>
      <c r="BY8" s="244">
        <f t="shared" si="0"/>
        <v>0</v>
      </c>
      <c r="BZ8" s="563"/>
      <c r="CA8" s="229"/>
      <c r="CB8" s="229"/>
      <c r="CC8" s="229"/>
      <c r="CD8" s="244">
        <f t="shared" si="1"/>
        <v>0</v>
      </c>
      <c r="CE8" s="563"/>
    </row>
    <row r="9" spans="2:83">
      <c r="B9" s="546" t="s">
        <v>184</v>
      </c>
      <c r="C9" s="239" t="s">
        <v>185</v>
      </c>
      <c r="D9" s="236" t="s">
        <v>180</v>
      </c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9"/>
      <c r="BY9" s="240">
        <f t="shared" si="0"/>
        <v>0</v>
      </c>
      <c r="BZ9" s="533">
        <f>SUM(BY9:BY11)</f>
        <v>63561333.333333336</v>
      </c>
      <c r="CA9" s="229">
        <f>BZ5+BZ9</f>
        <v>118839165.33333334</v>
      </c>
      <c r="CB9" s="229"/>
      <c r="CC9" s="229"/>
      <c r="CD9" s="240">
        <f t="shared" si="1"/>
        <v>182400498.66666669</v>
      </c>
      <c r="CE9" s="533">
        <f>SUM(CD9:CD11)</f>
        <v>375873165.6032598</v>
      </c>
    </row>
    <row r="10" spans="2:83">
      <c r="B10" s="569"/>
      <c r="C10" s="239" t="s">
        <v>186</v>
      </c>
      <c r="D10" s="236" t="s">
        <v>180</v>
      </c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  <c r="Y10" s="238"/>
      <c r="Z10" s="238"/>
      <c r="AA10" s="238"/>
      <c r="AB10" s="238"/>
      <c r="AC10" s="238"/>
      <c r="AD10" s="238"/>
      <c r="AE10" s="238"/>
      <c r="AF10" s="238"/>
      <c r="AG10" s="238"/>
      <c r="AH10" s="238"/>
      <c r="AI10" s="238">
        <f t="shared" ref="AI10:AN10" si="4">-AI61</f>
        <v>40000</v>
      </c>
      <c r="AJ10" s="238">
        <f t="shared" si="4"/>
        <v>114666.66666666667</v>
      </c>
      <c r="AK10" s="238">
        <f t="shared" si="4"/>
        <v>189333.33333333334</v>
      </c>
      <c r="AL10" s="238">
        <f t="shared" si="4"/>
        <v>264000</v>
      </c>
      <c r="AM10" s="238">
        <f t="shared" si="4"/>
        <v>338666.66666666669</v>
      </c>
      <c r="AN10" s="238">
        <f t="shared" si="4"/>
        <v>414666.66666666669</v>
      </c>
      <c r="AO10" s="238"/>
      <c r="AP10" s="238"/>
      <c r="AQ10" s="238"/>
      <c r="AR10" s="238"/>
      <c r="AS10" s="238"/>
      <c r="AT10" s="238"/>
      <c r="AU10" s="238"/>
      <c r="AV10" s="238"/>
      <c r="AW10" s="238"/>
      <c r="AX10" s="238"/>
      <c r="AY10" s="238"/>
      <c r="AZ10" s="238"/>
      <c r="BA10" s="238"/>
      <c r="BB10" s="238"/>
      <c r="BC10" s="238"/>
      <c r="BD10" s="238"/>
      <c r="BE10" s="238"/>
      <c r="BF10" s="238"/>
      <c r="BG10" s="238"/>
      <c r="BH10" s="238"/>
      <c r="BI10" s="238"/>
      <c r="BJ10" s="238"/>
      <c r="BK10" s="238"/>
      <c r="BL10" s="238"/>
      <c r="BM10" s="238"/>
      <c r="BN10" s="238"/>
      <c r="BO10" s="238"/>
      <c r="BP10" s="238"/>
      <c r="BQ10" s="238"/>
      <c r="BR10" s="238"/>
      <c r="BS10" s="238"/>
      <c r="BT10" s="238"/>
      <c r="BU10" s="238"/>
      <c r="BV10" s="238"/>
      <c r="BW10" s="238"/>
      <c r="BX10" s="235"/>
      <c r="BY10" s="240">
        <f t="shared" si="0"/>
        <v>1361333.3333333335</v>
      </c>
      <c r="BZ10" s="564"/>
      <c r="CA10" s="229"/>
      <c r="CB10" s="229">
        <v>66350000</v>
      </c>
      <c r="CC10" s="229"/>
      <c r="CD10" s="240">
        <f t="shared" si="1"/>
        <v>69072666.666666672</v>
      </c>
      <c r="CE10" s="564"/>
    </row>
    <row r="11" spans="2:83">
      <c r="B11" s="568"/>
      <c r="C11" s="241" t="s">
        <v>187</v>
      </c>
      <c r="D11" s="242" t="s">
        <v>180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>
        <v>6000000</v>
      </c>
      <c r="AJ11" s="243">
        <v>11200000</v>
      </c>
      <c r="AK11" s="243">
        <v>11200000</v>
      </c>
      <c r="AL11" s="243">
        <v>11200000</v>
      </c>
      <c r="AM11" s="243">
        <v>11200000</v>
      </c>
      <c r="AN11" s="243">
        <v>11400000</v>
      </c>
      <c r="AO11" s="245"/>
      <c r="AP11" s="243"/>
      <c r="AQ11" s="243"/>
      <c r="AR11" s="243"/>
      <c r="AS11" s="243"/>
      <c r="AT11" s="243"/>
      <c r="AU11" s="243"/>
      <c r="AV11" s="243"/>
      <c r="AW11" s="243"/>
      <c r="AX11" s="243"/>
      <c r="AY11" s="243"/>
      <c r="AZ11" s="243"/>
      <c r="BA11" s="243"/>
      <c r="BB11" s="243"/>
      <c r="BC11" s="243"/>
      <c r="BD11" s="243"/>
      <c r="BE11" s="243"/>
      <c r="BF11" s="243"/>
      <c r="BG11" s="243"/>
      <c r="BH11" s="243"/>
      <c r="BI11" s="243"/>
      <c r="BJ11" s="243"/>
      <c r="BK11" s="243"/>
      <c r="BL11" s="243"/>
      <c r="BM11" s="243"/>
      <c r="BN11" s="243"/>
      <c r="BO11" s="243"/>
      <c r="BP11" s="243"/>
      <c r="BQ11" s="243"/>
      <c r="BR11" s="243"/>
      <c r="BS11" s="243"/>
      <c r="BT11" s="243"/>
      <c r="BU11" s="243"/>
      <c r="BV11" s="243"/>
      <c r="BW11" s="243"/>
      <c r="BX11" s="241"/>
      <c r="BY11" s="244">
        <f t="shared" si="0"/>
        <v>62200000</v>
      </c>
      <c r="BZ11" s="571"/>
      <c r="CA11" s="246">
        <f>SUM(I5:AB8)/CA9</f>
        <v>0.26992643300737196</v>
      </c>
      <c r="CB11" s="343"/>
      <c r="CC11" s="246"/>
      <c r="CD11" s="244">
        <f t="shared" si="1"/>
        <v>124400000.26992643</v>
      </c>
      <c r="CE11" s="571"/>
    </row>
    <row r="12" spans="2:83">
      <c r="B12" s="546" t="s">
        <v>188</v>
      </c>
      <c r="C12" s="235" t="s">
        <v>189</v>
      </c>
      <c r="D12" s="236" t="s">
        <v>180</v>
      </c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237"/>
      <c r="Y12" s="237"/>
      <c r="Z12" s="237"/>
      <c r="AA12" s="237"/>
      <c r="AB12" s="237"/>
      <c r="AC12" s="237"/>
      <c r="AD12" s="237"/>
      <c r="AE12" s="237"/>
      <c r="AF12" s="237"/>
      <c r="AG12" s="247"/>
      <c r="AH12" s="247"/>
      <c r="AI12" s="247"/>
      <c r="AJ12" s="237"/>
      <c r="AK12" s="237"/>
      <c r="AL12" s="237"/>
      <c r="AM12" s="237"/>
      <c r="AN12" s="247"/>
      <c r="AO12" s="247">
        <f>Businessplan_prodej!$J$18/12</f>
        <v>709678.25</v>
      </c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9"/>
      <c r="BY12" s="240">
        <f t="shared" si="0"/>
        <v>709678.25</v>
      </c>
      <c r="BZ12" s="533">
        <f>SUM(BY12:BY16)</f>
        <v>137785909.73077378</v>
      </c>
      <c r="CA12" s="248">
        <f>1-CA11</f>
        <v>0.73007356699262804</v>
      </c>
      <c r="CB12" s="326"/>
      <c r="CC12" s="229"/>
      <c r="CD12" s="240">
        <f t="shared" si="1"/>
        <v>139205266.96084735</v>
      </c>
      <c r="CE12" s="533">
        <f>SUM(CD12:CD16)</f>
        <v>409430133.56768626</v>
      </c>
    </row>
    <row r="13" spans="2:83">
      <c r="B13" s="569"/>
      <c r="C13" s="235" t="s">
        <v>190</v>
      </c>
      <c r="D13" s="236" t="s">
        <v>180</v>
      </c>
      <c r="E13" s="237"/>
      <c r="F13" s="237"/>
      <c r="G13" s="237"/>
      <c r="H13" s="237"/>
      <c r="I13" s="237"/>
      <c r="J13" s="237"/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47"/>
      <c r="AH13" s="247"/>
      <c r="AI13" s="247"/>
      <c r="AJ13" s="237"/>
      <c r="AK13" s="237"/>
      <c r="AL13" s="237"/>
      <c r="AM13" s="237"/>
      <c r="AN13" s="247"/>
      <c r="AO13" s="247">
        <f>Businessplan_prodej!$J$30+Businessplan_prodej!$N$26</f>
        <v>113098414.28571427</v>
      </c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9"/>
      <c r="BY13" s="240">
        <f t="shared" si="0"/>
        <v>113098414.28571427</v>
      </c>
      <c r="BZ13" s="564"/>
      <c r="CA13" s="248">
        <f>BZ9/CA9</f>
        <v>0.53485173137197173</v>
      </c>
      <c r="CB13" s="229"/>
      <c r="CC13" s="229"/>
      <c r="CD13" s="240">
        <f t="shared" si="1"/>
        <v>226196829.10628027</v>
      </c>
      <c r="CE13" s="564"/>
    </row>
    <row r="14" spans="2:83">
      <c r="B14" s="569"/>
      <c r="C14" s="235" t="s">
        <v>10</v>
      </c>
      <c r="D14" s="236" t="s">
        <v>191</v>
      </c>
      <c r="E14" s="238"/>
      <c r="F14" s="238"/>
      <c r="G14" s="238"/>
      <c r="H14" s="238"/>
      <c r="I14" s="238"/>
      <c r="J14" s="238"/>
      <c r="K14" s="238"/>
      <c r="L14" s="238"/>
      <c r="M14" s="238">
        <f t="shared" ref="M14:Q14" si="5">(+M24+M38)*0.21</f>
        <v>0</v>
      </c>
      <c r="N14" s="238">
        <f t="shared" si="5"/>
        <v>-2436</v>
      </c>
      <c r="O14" s="238">
        <f t="shared" si="5"/>
        <v>-5282.1074380165282</v>
      </c>
      <c r="P14" s="238">
        <f t="shared" si="5"/>
        <v>-6400.3140495867765</v>
      </c>
      <c r="Q14" s="238">
        <f t="shared" si="5"/>
        <v>-75505.586776859505</v>
      </c>
      <c r="R14" s="238">
        <f>(+R24+R38+R18)*0.21</f>
        <v>-37834.663519834707</v>
      </c>
      <c r="S14" s="238">
        <f t="shared" ref="S14:AN14" si="6">(+S24+S38)*0.21</f>
        <v>-108663.79283801652</v>
      </c>
      <c r="T14" s="238">
        <f t="shared" si="6"/>
        <v>-35518.692838016526</v>
      </c>
      <c r="U14" s="238">
        <f t="shared" si="6"/>
        <v>-138063.79283801652</v>
      </c>
      <c r="V14" s="238">
        <f t="shared" si="6"/>
        <v>-203677.92533801653</v>
      </c>
      <c r="W14" s="238">
        <f t="shared" si="6"/>
        <v>-35518.692838016526</v>
      </c>
      <c r="X14" s="238">
        <f t="shared" si="6"/>
        <v>-182518.69283801655</v>
      </c>
      <c r="Y14" s="238">
        <f t="shared" si="6"/>
        <v>-35518.692838016526</v>
      </c>
      <c r="Z14" s="238">
        <f t="shared" si="6"/>
        <v>-224518.69283801655</v>
      </c>
      <c r="AA14" s="238">
        <f t="shared" si="6"/>
        <v>-35518.692838016526</v>
      </c>
      <c r="AB14" s="238">
        <f t="shared" si="6"/>
        <v>-148393.69283801655</v>
      </c>
      <c r="AC14" s="238">
        <f t="shared" si="6"/>
        <v>-152378.12573801653</v>
      </c>
      <c r="AD14" s="238">
        <f t="shared" si="6"/>
        <v>-39503.125738016526</v>
      </c>
      <c r="AE14" s="238">
        <f t="shared" si="6"/>
        <v>-39503.125738016526</v>
      </c>
      <c r="AF14" s="238">
        <f t="shared" si="6"/>
        <v>-39503.125738016526</v>
      </c>
      <c r="AG14" s="238">
        <f t="shared" si="6"/>
        <v>-58629.925738016529</v>
      </c>
      <c r="AH14" s="238">
        <f t="shared" si="6"/>
        <v>-89706.998338016521</v>
      </c>
      <c r="AI14" s="238">
        <f t="shared" si="6"/>
        <v>-89706.998338016521</v>
      </c>
      <c r="AJ14" s="238">
        <f t="shared" si="6"/>
        <v>-89706.998338016521</v>
      </c>
      <c r="AK14" s="238">
        <f t="shared" si="6"/>
        <v>-89706.998338016521</v>
      </c>
      <c r="AL14" s="238">
        <f t="shared" si="6"/>
        <v>-89706.998338016521</v>
      </c>
      <c r="AM14" s="238">
        <f t="shared" si="6"/>
        <v>-89706.998338016521</v>
      </c>
      <c r="AN14" s="238">
        <f t="shared" si="6"/>
        <v>-97451.798338016524</v>
      </c>
      <c r="AO14" s="238"/>
      <c r="AP14" s="238"/>
      <c r="AQ14" s="238"/>
      <c r="AR14" s="238"/>
      <c r="AS14" s="238"/>
      <c r="AT14" s="238"/>
      <c r="AU14" s="238"/>
      <c r="AV14" s="238"/>
      <c r="AW14" s="238"/>
      <c r="AX14" s="238"/>
      <c r="AY14" s="238"/>
      <c r="AZ14" s="238"/>
      <c r="BA14" s="238"/>
      <c r="BB14" s="238"/>
      <c r="BC14" s="238"/>
      <c r="BD14" s="238"/>
      <c r="BE14" s="238"/>
      <c r="BF14" s="238"/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5"/>
      <c r="BY14" s="240">
        <f t="shared" si="0"/>
        <v>-2240581.249720661</v>
      </c>
      <c r="BZ14" s="564"/>
      <c r="CA14" s="229"/>
      <c r="CB14" s="229"/>
      <c r="CC14" s="229"/>
      <c r="CD14" s="240">
        <f t="shared" si="1"/>
        <v>-4481162.4994413219</v>
      </c>
      <c r="CE14" s="564"/>
    </row>
    <row r="15" spans="2:83">
      <c r="B15" s="569"/>
      <c r="C15" s="235" t="s">
        <v>10</v>
      </c>
      <c r="D15" s="236" t="s">
        <v>180</v>
      </c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>
        <f>-M14</f>
        <v>0</v>
      </c>
      <c r="P15" s="238"/>
      <c r="Q15" s="238"/>
      <c r="R15" s="238"/>
      <c r="S15" s="238"/>
      <c r="T15" s="238">
        <f t="shared" ref="T15:AN15" si="7">-R14</f>
        <v>37834.663519834707</v>
      </c>
      <c r="U15" s="238">
        <f t="shared" si="7"/>
        <v>108663.79283801652</v>
      </c>
      <c r="V15" s="238">
        <f t="shared" si="7"/>
        <v>35518.692838016526</v>
      </c>
      <c r="W15" s="238">
        <f t="shared" si="7"/>
        <v>138063.79283801652</v>
      </c>
      <c r="X15" s="238">
        <f t="shared" si="7"/>
        <v>203677.92533801653</v>
      </c>
      <c r="Y15" s="238">
        <f t="shared" si="7"/>
        <v>35518.692838016526</v>
      </c>
      <c r="Z15" s="238">
        <f t="shared" si="7"/>
        <v>182518.69283801655</v>
      </c>
      <c r="AA15" s="238">
        <f t="shared" si="7"/>
        <v>35518.692838016526</v>
      </c>
      <c r="AB15" s="238">
        <f t="shared" si="7"/>
        <v>224518.69283801655</v>
      </c>
      <c r="AC15" s="238">
        <f t="shared" si="7"/>
        <v>35518.692838016526</v>
      </c>
      <c r="AD15" s="238">
        <f t="shared" si="7"/>
        <v>148393.69283801655</v>
      </c>
      <c r="AE15" s="238">
        <f t="shared" si="7"/>
        <v>152378.12573801653</v>
      </c>
      <c r="AF15" s="238">
        <f t="shared" si="7"/>
        <v>39503.125738016526</v>
      </c>
      <c r="AG15" s="238">
        <f t="shared" si="7"/>
        <v>39503.125738016526</v>
      </c>
      <c r="AH15" s="238">
        <f t="shared" si="7"/>
        <v>39503.125738016526</v>
      </c>
      <c r="AI15" s="238">
        <f t="shared" si="7"/>
        <v>58629.925738016529</v>
      </c>
      <c r="AJ15" s="238">
        <f t="shared" si="7"/>
        <v>89706.998338016521</v>
      </c>
      <c r="AK15" s="238">
        <f t="shared" si="7"/>
        <v>89706.998338016521</v>
      </c>
      <c r="AL15" s="238">
        <f t="shared" si="7"/>
        <v>89706.998338016521</v>
      </c>
      <c r="AM15" s="238">
        <f t="shared" si="7"/>
        <v>89706.998338016521</v>
      </c>
      <c r="AN15" s="238">
        <f t="shared" si="7"/>
        <v>89706.998338016521</v>
      </c>
      <c r="AO15" s="238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38"/>
      <c r="BG15" s="238"/>
      <c r="BH15" s="238"/>
      <c r="BI15" s="238"/>
      <c r="BJ15" s="238"/>
      <c r="BK15" s="238"/>
      <c r="BL15" s="238"/>
      <c r="BM15" s="238"/>
      <c r="BN15" s="238"/>
      <c r="BO15" s="238"/>
      <c r="BP15" s="238"/>
      <c r="BQ15" s="238"/>
      <c r="BR15" s="238"/>
      <c r="BS15" s="238"/>
      <c r="BT15" s="238"/>
      <c r="BU15" s="238"/>
      <c r="BV15" s="238"/>
      <c r="BW15" s="238"/>
      <c r="BX15" s="235"/>
      <c r="BY15" s="240">
        <f t="shared" si="0"/>
        <v>1963798.4447801651</v>
      </c>
      <c r="BZ15" s="564"/>
      <c r="CA15" s="229"/>
      <c r="CB15" s="229"/>
      <c r="CC15" s="229"/>
      <c r="CD15" s="249"/>
      <c r="CE15" s="564"/>
    </row>
    <row r="16" spans="2:83">
      <c r="B16" s="568"/>
      <c r="C16" s="241" t="s">
        <v>192</v>
      </c>
      <c r="D16" s="242" t="s">
        <v>193</v>
      </c>
      <c r="E16" s="243"/>
      <c r="F16" s="243"/>
      <c r="G16" s="243"/>
      <c r="H16" s="243"/>
      <c r="I16" s="243"/>
      <c r="J16" s="243"/>
      <c r="K16" s="243">
        <f>3400000</f>
        <v>3400000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>
        <f>11526*2100-$K$16</f>
        <v>20804600</v>
      </c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>
        <f>-Businessplan_prodej!$F$47</f>
        <v>0</v>
      </c>
      <c r="AH16" s="243"/>
      <c r="AI16" s="243"/>
      <c r="AJ16" s="243"/>
      <c r="AK16" s="243"/>
      <c r="AL16" s="243"/>
      <c r="AM16" s="243"/>
      <c r="AN16" s="243"/>
      <c r="AO16" s="243">
        <f>-Businessplan_prodej!F38</f>
        <v>50000</v>
      </c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1"/>
      <c r="BY16" s="244">
        <f t="shared" si="0"/>
        <v>24254600</v>
      </c>
      <c r="BZ16" s="571"/>
      <c r="CA16" s="229"/>
      <c r="CB16" s="229"/>
      <c r="CC16" s="229"/>
      <c r="CD16" s="244">
        <f>SUM(H16:CC16)</f>
        <v>48509200</v>
      </c>
      <c r="CE16" s="571"/>
    </row>
    <row r="17" spans="2:83" ht="15.95">
      <c r="B17" s="547" t="s">
        <v>194</v>
      </c>
      <c r="C17" s="563"/>
      <c r="D17" s="250"/>
      <c r="E17" s="251">
        <f t="shared" ref="E17:BX17" si="8">SUM(E5:E16)</f>
        <v>0</v>
      </c>
      <c r="F17" s="251">
        <f t="shared" si="8"/>
        <v>0</v>
      </c>
      <c r="G17" s="251">
        <f t="shared" si="8"/>
        <v>0</v>
      </c>
      <c r="H17" s="251">
        <f t="shared" si="8"/>
        <v>0</v>
      </c>
      <c r="I17" s="251">
        <f t="shared" si="8"/>
        <v>87324</v>
      </c>
      <c r="J17" s="251">
        <f t="shared" si="8"/>
        <v>100000</v>
      </c>
      <c r="K17" s="251">
        <f t="shared" si="8"/>
        <v>0</v>
      </c>
      <c r="L17" s="251">
        <f t="shared" si="8"/>
        <v>5024500</v>
      </c>
      <c r="M17" s="251">
        <f t="shared" si="8"/>
        <v>1000</v>
      </c>
      <c r="N17" s="251">
        <f t="shared" si="8"/>
        <v>77564</v>
      </c>
      <c r="O17" s="251">
        <f t="shared" si="8"/>
        <v>25717.89256198347</v>
      </c>
      <c r="P17" s="251">
        <f t="shared" si="8"/>
        <v>3987607.6859504133</v>
      </c>
      <c r="Q17" s="251">
        <f t="shared" si="8"/>
        <v>-75505.586776859505</v>
      </c>
      <c r="R17" s="251">
        <f t="shared" si="8"/>
        <v>-37834.663519834707</v>
      </c>
      <c r="S17" s="251">
        <f t="shared" si="8"/>
        <v>451336.20716198348</v>
      </c>
      <c r="T17" s="251">
        <f t="shared" si="8"/>
        <v>2315.9706818181803</v>
      </c>
      <c r="U17" s="251">
        <f t="shared" si="8"/>
        <v>43875200</v>
      </c>
      <c r="V17" s="251">
        <f t="shared" si="8"/>
        <v>-168159.23250000001</v>
      </c>
      <c r="W17" s="251">
        <f t="shared" si="8"/>
        <v>102545.1</v>
      </c>
      <c r="X17" s="251">
        <f t="shared" si="8"/>
        <v>521159.23249999998</v>
      </c>
      <c r="Y17" s="251">
        <f t="shared" si="8"/>
        <v>0</v>
      </c>
      <c r="Z17" s="251">
        <f t="shared" si="8"/>
        <v>1458000</v>
      </c>
      <c r="AA17" s="251">
        <f t="shared" si="8"/>
        <v>0</v>
      </c>
      <c r="AB17" s="251">
        <f t="shared" si="8"/>
        <v>576125</v>
      </c>
      <c r="AC17" s="251">
        <f t="shared" si="8"/>
        <v>1133140.5670999999</v>
      </c>
      <c r="AD17" s="251">
        <f t="shared" si="8"/>
        <v>108890.56710000001</v>
      </c>
      <c r="AE17" s="251">
        <f t="shared" si="8"/>
        <v>112875</v>
      </c>
      <c r="AF17" s="251">
        <f t="shared" si="8"/>
        <v>0</v>
      </c>
      <c r="AG17" s="251">
        <f t="shared" si="8"/>
        <v>8830873.2000000011</v>
      </c>
      <c r="AH17" s="251">
        <f t="shared" si="8"/>
        <v>9199796.1274000015</v>
      </c>
      <c r="AI17" s="251">
        <f t="shared" si="8"/>
        <v>9858922.9274000004</v>
      </c>
      <c r="AJ17" s="251">
        <f t="shared" si="8"/>
        <v>11314666.666666666</v>
      </c>
      <c r="AK17" s="251">
        <f t="shared" si="8"/>
        <v>11389333.333333334</v>
      </c>
      <c r="AL17" s="251">
        <f t="shared" si="8"/>
        <v>11464000</v>
      </c>
      <c r="AM17" s="251">
        <f t="shared" si="8"/>
        <v>11538666.666666666</v>
      </c>
      <c r="AN17" s="251">
        <f t="shared" si="8"/>
        <v>11806921.866666665</v>
      </c>
      <c r="AO17" s="251">
        <f t="shared" si="8"/>
        <v>113858092.53571427</v>
      </c>
      <c r="AP17" s="251">
        <f t="shared" si="8"/>
        <v>0</v>
      </c>
      <c r="AQ17" s="251">
        <f t="shared" si="8"/>
        <v>0</v>
      </c>
      <c r="AR17" s="251">
        <f t="shared" si="8"/>
        <v>0</v>
      </c>
      <c r="AS17" s="251">
        <f t="shared" si="8"/>
        <v>0</v>
      </c>
      <c r="AT17" s="251">
        <f t="shared" si="8"/>
        <v>0</v>
      </c>
      <c r="AU17" s="251">
        <f t="shared" si="8"/>
        <v>0</v>
      </c>
      <c r="AV17" s="251">
        <f t="shared" si="8"/>
        <v>0</v>
      </c>
      <c r="AW17" s="251">
        <f t="shared" si="8"/>
        <v>0</v>
      </c>
      <c r="AX17" s="251">
        <f t="shared" si="8"/>
        <v>0</v>
      </c>
      <c r="AY17" s="251">
        <f t="shared" si="8"/>
        <v>0</v>
      </c>
      <c r="AZ17" s="251">
        <f t="shared" si="8"/>
        <v>0</v>
      </c>
      <c r="BA17" s="251">
        <f t="shared" si="8"/>
        <v>0</v>
      </c>
      <c r="BB17" s="251">
        <f t="shared" si="8"/>
        <v>0</v>
      </c>
      <c r="BC17" s="251">
        <f t="shared" si="8"/>
        <v>0</v>
      </c>
      <c r="BD17" s="251">
        <f t="shared" si="8"/>
        <v>0</v>
      </c>
      <c r="BE17" s="251">
        <f t="shared" si="8"/>
        <v>0</v>
      </c>
      <c r="BF17" s="251">
        <f t="shared" si="8"/>
        <v>0</v>
      </c>
      <c r="BG17" s="251">
        <f t="shared" si="8"/>
        <v>0</v>
      </c>
      <c r="BH17" s="251">
        <f t="shared" si="8"/>
        <v>0</v>
      </c>
      <c r="BI17" s="251">
        <f t="shared" si="8"/>
        <v>0</v>
      </c>
      <c r="BJ17" s="251">
        <f t="shared" si="8"/>
        <v>0</v>
      </c>
      <c r="BK17" s="251">
        <f t="shared" si="8"/>
        <v>0</v>
      </c>
      <c r="BL17" s="251">
        <f t="shared" si="8"/>
        <v>0</v>
      </c>
      <c r="BM17" s="251">
        <f t="shared" si="8"/>
        <v>0</v>
      </c>
      <c r="BN17" s="251">
        <f t="shared" si="8"/>
        <v>0</v>
      </c>
      <c r="BO17" s="251">
        <f t="shared" si="8"/>
        <v>0</v>
      </c>
      <c r="BP17" s="251">
        <f t="shared" si="8"/>
        <v>0</v>
      </c>
      <c r="BQ17" s="251">
        <f t="shared" si="8"/>
        <v>0</v>
      </c>
      <c r="BR17" s="251">
        <f t="shared" si="8"/>
        <v>0</v>
      </c>
      <c r="BS17" s="251">
        <f t="shared" si="8"/>
        <v>0</v>
      </c>
      <c r="BT17" s="251">
        <f t="shared" si="8"/>
        <v>0</v>
      </c>
      <c r="BU17" s="251">
        <f t="shared" si="8"/>
        <v>0</v>
      </c>
      <c r="BV17" s="251">
        <f t="shared" si="8"/>
        <v>0</v>
      </c>
      <c r="BW17" s="251">
        <f t="shared" si="8"/>
        <v>0</v>
      </c>
      <c r="BX17" s="251">
        <f t="shared" si="8"/>
        <v>0</v>
      </c>
      <c r="BY17" s="535">
        <f>BZ5+BZ9+BZ12</f>
        <v>256625075.06410712</v>
      </c>
      <c r="BZ17" s="563"/>
      <c r="CA17" s="229"/>
      <c r="CB17" s="229"/>
      <c r="CC17" s="229"/>
      <c r="CD17" s="535">
        <f>CE5+CE9+CE12</f>
        <v>964956253.40033507</v>
      </c>
      <c r="CE17" s="563"/>
    </row>
    <row r="18" spans="2:83" ht="15.95">
      <c r="B18" s="544" t="s">
        <v>195</v>
      </c>
      <c r="C18" s="252" t="s">
        <v>196</v>
      </c>
      <c r="D18" s="253"/>
      <c r="E18" s="254">
        <f t="shared" ref="E18:BY18" si="9">SUM(E19:E23)</f>
        <v>0</v>
      </c>
      <c r="F18" s="254">
        <f t="shared" si="9"/>
        <v>0</v>
      </c>
      <c r="G18" s="254">
        <f t="shared" si="9"/>
        <v>0</v>
      </c>
      <c r="H18" s="254">
        <f t="shared" si="9"/>
        <v>0</v>
      </c>
      <c r="I18" s="254">
        <f t="shared" si="9"/>
        <v>0</v>
      </c>
      <c r="J18" s="254">
        <f t="shared" si="9"/>
        <v>-100000</v>
      </c>
      <c r="K18" s="254">
        <f t="shared" si="9"/>
        <v>0</v>
      </c>
      <c r="L18" s="254">
        <f t="shared" si="9"/>
        <v>-5000000</v>
      </c>
      <c r="M18" s="254">
        <f t="shared" si="9"/>
        <v>0</v>
      </c>
      <c r="N18" s="254">
        <f t="shared" si="9"/>
        <v>0</v>
      </c>
      <c r="O18" s="254">
        <f t="shared" si="9"/>
        <v>0</v>
      </c>
      <c r="P18" s="254">
        <f t="shared" si="9"/>
        <v>0</v>
      </c>
      <c r="Q18" s="254">
        <f t="shared" si="9"/>
        <v>0</v>
      </c>
      <c r="R18" s="254">
        <f t="shared" si="9"/>
        <v>0</v>
      </c>
      <c r="S18" s="254">
        <f t="shared" si="9"/>
        <v>-701513.3563000001</v>
      </c>
      <c r="T18" s="254">
        <f t="shared" si="9"/>
        <v>0</v>
      </c>
      <c r="U18" s="254">
        <f t="shared" si="9"/>
        <v>-21000000</v>
      </c>
      <c r="V18" s="254">
        <f t="shared" si="9"/>
        <v>0</v>
      </c>
      <c r="W18" s="254">
        <f t="shared" si="9"/>
        <v>0</v>
      </c>
      <c r="X18" s="254">
        <f t="shared" si="9"/>
        <v>0</v>
      </c>
      <c r="Y18" s="254">
        <f t="shared" si="9"/>
        <v>0</v>
      </c>
      <c r="Z18" s="254">
        <f t="shared" si="9"/>
        <v>0</v>
      </c>
      <c r="AA18" s="254">
        <f t="shared" si="9"/>
        <v>0</v>
      </c>
      <c r="AB18" s="254">
        <f t="shared" si="9"/>
        <v>0</v>
      </c>
      <c r="AC18" s="254">
        <f t="shared" si="9"/>
        <v>0</v>
      </c>
      <c r="AD18" s="254">
        <f t="shared" si="9"/>
        <v>0</v>
      </c>
      <c r="AE18" s="254">
        <f t="shared" si="9"/>
        <v>0</v>
      </c>
      <c r="AF18" s="254">
        <f t="shared" si="9"/>
        <v>0</v>
      </c>
      <c r="AG18" s="254">
        <f t="shared" si="9"/>
        <v>0</v>
      </c>
      <c r="AH18" s="254">
        <f t="shared" si="9"/>
        <v>0</v>
      </c>
      <c r="AI18" s="254">
        <f t="shared" si="9"/>
        <v>0</v>
      </c>
      <c r="AJ18" s="254">
        <f t="shared" si="9"/>
        <v>0</v>
      </c>
      <c r="AK18" s="254">
        <f t="shared" si="9"/>
        <v>0</v>
      </c>
      <c r="AL18" s="254">
        <f t="shared" si="9"/>
        <v>0</v>
      </c>
      <c r="AM18" s="254">
        <f t="shared" si="9"/>
        <v>0</v>
      </c>
      <c r="AN18" s="254">
        <f t="shared" si="9"/>
        <v>0</v>
      </c>
      <c r="AO18" s="254">
        <f t="shared" si="9"/>
        <v>0</v>
      </c>
      <c r="AP18" s="254">
        <f t="shared" si="9"/>
        <v>0</v>
      </c>
      <c r="AQ18" s="254">
        <f t="shared" si="9"/>
        <v>0</v>
      </c>
      <c r="AR18" s="254">
        <f t="shared" si="9"/>
        <v>0</v>
      </c>
      <c r="AS18" s="254">
        <f t="shared" si="9"/>
        <v>0</v>
      </c>
      <c r="AT18" s="254">
        <f t="shared" si="9"/>
        <v>0</v>
      </c>
      <c r="AU18" s="254">
        <f t="shared" si="9"/>
        <v>0</v>
      </c>
      <c r="AV18" s="254">
        <f t="shared" si="9"/>
        <v>0</v>
      </c>
      <c r="AW18" s="254">
        <f t="shared" si="9"/>
        <v>0</v>
      </c>
      <c r="AX18" s="254">
        <f t="shared" si="9"/>
        <v>0</v>
      </c>
      <c r="AY18" s="254">
        <f t="shared" si="9"/>
        <v>0</v>
      </c>
      <c r="AZ18" s="254">
        <f t="shared" si="9"/>
        <v>0</v>
      </c>
      <c r="BA18" s="254">
        <f t="shared" si="9"/>
        <v>0</v>
      </c>
      <c r="BB18" s="254">
        <f t="shared" si="9"/>
        <v>0</v>
      </c>
      <c r="BC18" s="254">
        <f t="shared" si="9"/>
        <v>0</v>
      </c>
      <c r="BD18" s="254">
        <f t="shared" si="9"/>
        <v>0</v>
      </c>
      <c r="BE18" s="254">
        <f t="shared" si="9"/>
        <v>0</v>
      </c>
      <c r="BF18" s="254">
        <f t="shared" si="9"/>
        <v>0</v>
      </c>
      <c r="BG18" s="254">
        <f t="shared" si="9"/>
        <v>0</v>
      </c>
      <c r="BH18" s="254">
        <f t="shared" si="9"/>
        <v>0</v>
      </c>
      <c r="BI18" s="254">
        <f t="shared" si="9"/>
        <v>0</v>
      </c>
      <c r="BJ18" s="254">
        <f t="shared" si="9"/>
        <v>0</v>
      </c>
      <c r="BK18" s="254">
        <f t="shared" si="9"/>
        <v>0</v>
      </c>
      <c r="BL18" s="254">
        <f t="shared" si="9"/>
        <v>0</v>
      </c>
      <c r="BM18" s="254">
        <f t="shared" si="9"/>
        <v>0</v>
      </c>
      <c r="BN18" s="254">
        <f t="shared" si="9"/>
        <v>0</v>
      </c>
      <c r="BO18" s="254">
        <f t="shared" si="9"/>
        <v>0</v>
      </c>
      <c r="BP18" s="254">
        <f t="shared" si="9"/>
        <v>0</v>
      </c>
      <c r="BQ18" s="254">
        <f t="shared" si="9"/>
        <v>0</v>
      </c>
      <c r="BR18" s="254">
        <f t="shared" si="9"/>
        <v>0</v>
      </c>
      <c r="BS18" s="254">
        <f t="shared" si="9"/>
        <v>0</v>
      </c>
      <c r="BT18" s="254">
        <f t="shared" si="9"/>
        <v>0</v>
      </c>
      <c r="BU18" s="254">
        <f t="shared" si="9"/>
        <v>0</v>
      </c>
      <c r="BV18" s="254">
        <f t="shared" si="9"/>
        <v>0</v>
      </c>
      <c r="BW18" s="254">
        <f t="shared" si="9"/>
        <v>0</v>
      </c>
      <c r="BX18" s="254">
        <f t="shared" si="9"/>
        <v>0</v>
      </c>
      <c r="BY18" s="255">
        <f t="shared" si="9"/>
        <v>-26801513.3563</v>
      </c>
      <c r="BZ18" s="534">
        <f>BY18+BY24+BY27+BY35+BY38+BY48+BY54+BY62+BY70</f>
        <v>-116922755.15840921</v>
      </c>
      <c r="CA18" s="229" t="e">
        <f ca="1">BY18+K16+V16+SUM(I24:AA24)+SUM(I27:AA27)+SUM(I38:AA38)+_xludf.sum</f>
        <v>#NAME?</v>
      </c>
      <c r="CB18" s="229">
        <f>SUM(E5:AI7)+SUM(E74:AI76)</f>
        <v>33359008</v>
      </c>
      <c r="CC18" s="229"/>
      <c r="CD18" s="256" t="e">
        <f t="array" aca="1" ref="CD18" ca="1">SUM(INDEX(E18:BX18, , 1):INDEX(E18:BX18, ,MATCH($CD$4, $E$3:$BX$3,0) ))</f>
        <v>#N/A</v>
      </c>
      <c r="CE18" s="534" t="e">
        <f ca="1">CD18+CD24+CD27+CD35+CD38+CD48+CD54+CD62+CD70</f>
        <v>#N/A</v>
      </c>
    </row>
    <row r="19" spans="2:83" ht="15.95" outlineLevel="1">
      <c r="B19" s="569"/>
      <c r="C19" s="257" t="s">
        <v>197</v>
      </c>
      <c r="D19" s="258" t="s">
        <v>191</v>
      </c>
      <c r="E19" s="259"/>
      <c r="F19" s="259"/>
      <c r="G19" s="259"/>
      <c r="H19" s="259"/>
      <c r="I19" s="259"/>
      <c r="J19" s="259"/>
      <c r="K19" s="259"/>
      <c r="L19" s="259">
        <f>-5000000</f>
        <v>-5000000</v>
      </c>
      <c r="M19" s="259"/>
      <c r="N19" s="259"/>
      <c r="O19" s="259"/>
      <c r="P19" s="259"/>
      <c r="Q19" s="259"/>
      <c r="R19" s="259"/>
      <c r="S19" s="259"/>
      <c r="T19" s="259"/>
      <c r="U19" s="259">
        <f>-26000000-L19</f>
        <v>-21000000</v>
      </c>
      <c r="V19" s="259"/>
      <c r="W19" s="259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60">
        <f t="shared" ref="BY19:BY23" si="10">SUM(E19:BX19)</f>
        <v>-26000000</v>
      </c>
      <c r="BZ19" s="564"/>
      <c r="CA19" s="229"/>
      <c r="CB19" s="229"/>
      <c r="CC19" s="229"/>
      <c r="CD19" s="256" t="e">
        <f t="shared" ref="CD19:CD23" ca="1" si="11">SUM(INDEX(AC19:BX19, , 1):INDEX(AC19:BX19, ,MATCH($CD$4, $E$3:$BX$3,0) ))</f>
        <v>#N/A</v>
      </c>
      <c r="CE19" s="564"/>
    </row>
    <row r="20" spans="2:83" ht="15.95" outlineLevel="1">
      <c r="B20" s="569"/>
      <c r="C20" s="257" t="s">
        <v>198</v>
      </c>
      <c r="D20" s="258" t="s">
        <v>191</v>
      </c>
      <c r="E20" s="259"/>
      <c r="F20" s="259"/>
      <c r="G20" s="259"/>
      <c r="H20" s="259"/>
      <c r="I20" s="259"/>
      <c r="J20" s="259">
        <f>-Businessplan_prodej!F10</f>
        <v>-100000</v>
      </c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  <c r="AP20" s="259"/>
      <c r="AQ20" s="259"/>
      <c r="AR20" s="259"/>
      <c r="AS20" s="259"/>
      <c r="AT20" s="259"/>
      <c r="AU20" s="259"/>
      <c r="AV20" s="259"/>
      <c r="AW20" s="259"/>
      <c r="AX20" s="259"/>
      <c r="AY20" s="259"/>
      <c r="AZ20" s="259"/>
      <c r="BA20" s="259"/>
      <c r="BB20" s="259"/>
      <c r="BC20" s="259"/>
      <c r="BD20" s="259"/>
      <c r="BE20" s="259"/>
      <c r="BF20" s="259"/>
      <c r="BG20" s="259"/>
      <c r="BH20" s="259"/>
      <c r="BI20" s="259"/>
      <c r="BJ20" s="259"/>
      <c r="BK20" s="259"/>
      <c r="BL20" s="259"/>
      <c r="BM20" s="259"/>
      <c r="BN20" s="259"/>
      <c r="BO20" s="259"/>
      <c r="BP20" s="259"/>
      <c r="BQ20" s="259"/>
      <c r="BR20" s="259"/>
      <c r="BS20" s="259"/>
      <c r="BT20" s="259"/>
      <c r="BU20" s="259"/>
      <c r="BV20" s="259"/>
      <c r="BW20" s="259"/>
      <c r="BX20" s="259"/>
      <c r="BY20" s="260">
        <f t="shared" si="10"/>
        <v>-100000</v>
      </c>
      <c r="BZ20" s="564"/>
      <c r="CA20" s="229"/>
      <c r="CB20" s="229"/>
      <c r="CC20" s="229"/>
      <c r="CD20" s="256" t="e">
        <f t="shared" ca="1" si="11"/>
        <v>#N/A</v>
      </c>
      <c r="CE20" s="564"/>
    </row>
    <row r="21" spans="2:83" ht="15.95" outlineLevel="1">
      <c r="B21" s="569"/>
      <c r="C21" s="257" t="s">
        <v>199</v>
      </c>
      <c r="D21" s="258" t="s">
        <v>191</v>
      </c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>
        <f>-Businessplan_prodej!$F$11</f>
        <v>-250000</v>
      </c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60">
        <f t="shared" si="10"/>
        <v>-250000</v>
      </c>
      <c r="BZ21" s="564"/>
      <c r="CA21" s="229"/>
      <c r="CB21" s="229"/>
      <c r="CC21" s="229"/>
      <c r="CD21" s="256" t="e">
        <f t="shared" ca="1" si="11"/>
        <v>#N/A</v>
      </c>
      <c r="CE21" s="564"/>
    </row>
    <row r="22" spans="2:83" ht="15.95" outlineLevel="1">
      <c r="B22" s="569"/>
      <c r="C22" s="257" t="s">
        <v>200</v>
      </c>
      <c r="D22" s="258" t="s">
        <v>191</v>
      </c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>
        <f>-Businessplan_prodej!$F$12</f>
        <v>-252665.65170000002</v>
      </c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59"/>
      <c r="BC22" s="259"/>
      <c r="BD22" s="259"/>
      <c r="BE22" s="259"/>
      <c r="BF22" s="259"/>
      <c r="BG22" s="259"/>
      <c r="BH22" s="259"/>
      <c r="BI22" s="259"/>
      <c r="BJ22" s="259"/>
      <c r="BK22" s="259"/>
      <c r="BL22" s="259"/>
      <c r="BM22" s="259"/>
      <c r="BN22" s="259"/>
      <c r="BO22" s="259"/>
      <c r="BP22" s="259"/>
      <c r="BQ22" s="259"/>
      <c r="BR22" s="259"/>
      <c r="BS22" s="259"/>
      <c r="BT22" s="259"/>
      <c r="BU22" s="259"/>
      <c r="BV22" s="259"/>
      <c r="BW22" s="259"/>
      <c r="BX22" s="259"/>
      <c r="BY22" s="260">
        <f t="shared" si="10"/>
        <v>-252665.65170000002</v>
      </c>
      <c r="BZ22" s="564"/>
      <c r="CA22" s="229"/>
      <c r="CB22" s="229"/>
      <c r="CC22" s="229"/>
      <c r="CD22" s="256" t="e">
        <f t="shared" ca="1" si="11"/>
        <v>#N/A</v>
      </c>
      <c r="CE22" s="564"/>
    </row>
    <row r="23" spans="2:83" ht="15.95" outlineLevel="1">
      <c r="B23" s="569"/>
      <c r="C23" s="257" t="s">
        <v>201</v>
      </c>
      <c r="D23" s="261" t="s">
        <v>191</v>
      </c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>
        <f>-Businessplan_prodej!$F$13</f>
        <v>-198847.7046</v>
      </c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259"/>
      <c r="AU23" s="259"/>
      <c r="AV23" s="259"/>
      <c r="AW23" s="259"/>
      <c r="AX23" s="259"/>
      <c r="AY23" s="259"/>
      <c r="AZ23" s="259"/>
      <c r="BA23" s="259"/>
      <c r="BB23" s="259"/>
      <c r="BC23" s="259"/>
      <c r="BD23" s="259"/>
      <c r="BE23" s="259"/>
      <c r="BF23" s="259"/>
      <c r="BG23" s="259"/>
      <c r="BH23" s="259"/>
      <c r="BI23" s="259"/>
      <c r="BJ23" s="259"/>
      <c r="BK23" s="259"/>
      <c r="BL23" s="259"/>
      <c r="BM23" s="259"/>
      <c r="BN23" s="259"/>
      <c r="BO23" s="259"/>
      <c r="BP23" s="259"/>
      <c r="BQ23" s="259"/>
      <c r="BR23" s="259"/>
      <c r="BS23" s="259"/>
      <c r="BT23" s="259"/>
      <c r="BU23" s="259"/>
      <c r="BV23" s="259"/>
      <c r="BW23" s="259"/>
      <c r="BX23" s="259"/>
      <c r="BY23" s="260">
        <f t="shared" si="10"/>
        <v>-198847.7046</v>
      </c>
      <c r="BZ23" s="564"/>
      <c r="CA23" s="229"/>
      <c r="CB23" s="229"/>
      <c r="CC23" s="229"/>
      <c r="CD23" s="256" t="e">
        <f t="shared" ca="1" si="11"/>
        <v>#N/A</v>
      </c>
      <c r="CE23" s="564"/>
    </row>
    <row r="24" spans="2:83" ht="15.95">
      <c r="B24" s="569"/>
      <c r="C24" s="252" t="s">
        <v>202</v>
      </c>
      <c r="D24" s="253"/>
      <c r="E24" s="254">
        <f t="shared" ref="E24:BY24" si="12">SUM(E25:E26)</f>
        <v>0</v>
      </c>
      <c r="F24" s="254">
        <f t="shared" si="12"/>
        <v>0</v>
      </c>
      <c r="G24" s="254">
        <f t="shared" si="12"/>
        <v>0</v>
      </c>
      <c r="H24" s="254">
        <f t="shared" si="12"/>
        <v>0</v>
      </c>
      <c r="I24" s="254">
        <f t="shared" si="12"/>
        <v>0</v>
      </c>
      <c r="J24" s="254">
        <f t="shared" si="12"/>
        <v>0</v>
      </c>
      <c r="K24" s="254">
        <f t="shared" si="12"/>
        <v>0</v>
      </c>
      <c r="L24" s="254">
        <f t="shared" si="12"/>
        <v>0</v>
      </c>
      <c r="M24" s="254">
        <f t="shared" si="12"/>
        <v>0</v>
      </c>
      <c r="N24" s="254">
        <f t="shared" si="12"/>
        <v>0</v>
      </c>
      <c r="O24" s="254">
        <f t="shared" si="12"/>
        <v>0</v>
      </c>
      <c r="P24" s="254">
        <f t="shared" si="12"/>
        <v>0</v>
      </c>
      <c r="Q24" s="254">
        <f t="shared" si="12"/>
        <v>0</v>
      </c>
      <c r="R24" s="254">
        <f t="shared" si="12"/>
        <v>0</v>
      </c>
      <c r="S24" s="254">
        <f t="shared" si="12"/>
        <v>-280000</v>
      </c>
      <c r="T24" s="254">
        <f t="shared" si="12"/>
        <v>0</v>
      </c>
      <c r="U24" s="254">
        <f t="shared" si="12"/>
        <v>-420000</v>
      </c>
      <c r="V24" s="254">
        <f t="shared" si="12"/>
        <v>0</v>
      </c>
      <c r="W24" s="254">
        <f t="shared" si="12"/>
        <v>0</v>
      </c>
      <c r="X24" s="254">
        <f t="shared" si="12"/>
        <v>-700000</v>
      </c>
      <c r="Y24" s="254">
        <f t="shared" si="12"/>
        <v>0</v>
      </c>
      <c r="Z24" s="254">
        <f t="shared" si="12"/>
        <v>-900000</v>
      </c>
      <c r="AA24" s="254">
        <f t="shared" si="12"/>
        <v>0</v>
      </c>
      <c r="AB24" s="254">
        <f t="shared" si="12"/>
        <v>-537500</v>
      </c>
      <c r="AC24" s="254">
        <f t="shared" si="12"/>
        <v>-537500</v>
      </c>
      <c r="AD24" s="254">
        <f t="shared" si="12"/>
        <v>0</v>
      </c>
      <c r="AE24" s="254">
        <f t="shared" si="12"/>
        <v>0</v>
      </c>
      <c r="AF24" s="254">
        <f t="shared" si="12"/>
        <v>0</v>
      </c>
      <c r="AG24" s="254">
        <f t="shared" si="12"/>
        <v>0</v>
      </c>
      <c r="AH24" s="254">
        <f t="shared" si="12"/>
        <v>0</v>
      </c>
      <c r="AI24" s="254">
        <f t="shared" si="12"/>
        <v>0</v>
      </c>
      <c r="AJ24" s="254">
        <f t="shared" si="12"/>
        <v>0</v>
      </c>
      <c r="AK24" s="254">
        <f t="shared" si="12"/>
        <v>0</v>
      </c>
      <c r="AL24" s="254">
        <f t="shared" si="12"/>
        <v>0</v>
      </c>
      <c r="AM24" s="254">
        <f t="shared" si="12"/>
        <v>0</v>
      </c>
      <c r="AN24" s="254">
        <f t="shared" si="12"/>
        <v>0</v>
      </c>
      <c r="AO24" s="254">
        <f t="shared" si="12"/>
        <v>0</v>
      </c>
      <c r="AP24" s="254">
        <f t="shared" si="12"/>
        <v>0</v>
      </c>
      <c r="AQ24" s="254">
        <f t="shared" si="12"/>
        <v>0</v>
      </c>
      <c r="AR24" s="254">
        <f t="shared" si="12"/>
        <v>0</v>
      </c>
      <c r="AS24" s="254">
        <f t="shared" si="12"/>
        <v>0</v>
      </c>
      <c r="AT24" s="254">
        <f t="shared" si="12"/>
        <v>0</v>
      </c>
      <c r="AU24" s="254">
        <f t="shared" si="12"/>
        <v>0</v>
      </c>
      <c r="AV24" s="254">
        <f t="shared" si="12"/>
        <v>0</v>
      </c>
      <c r="AW24" s="254">
        <f t="shared" si="12"/>
        <v>0</v>
      </c>
      <c r="AX24" s="254">
        <f t="shared" si="12"/>
        <v>0</v>
      </c>
      <c r="AY24" s="254">
        <f t="shared" si="12"/>
        <v>0</v>
      </c>
      <c r="AZ24" s="254">
        <f t="shared" si="12"/>
        <v>0</v>
      </c>
      <c r="BA24" s="254">
        <f t="shared" si="12"/>
        <v>0</v>
      </c>
      <c r="BB24" s="254">
        <f t="shared" si="12"/>
        <v>0</v>
      </c>
      <c r="BC24" s="254">
        <f t="shared" si="12"/>
        <v>0</v>
      </c>
      <c r="BD24" s="254">
        <f t="shared" si="12"/>
        <v>0</v>
      </c>
      <c r="BE24" s="254">
        <f t="shared" si="12"/>
        <v>0</v>
      </c>
      <c r="BF24" s="254">
        <f t="shared" si="12"/>
        <v>0</v>
      </c>
      <c r="BG24" s="254">
        <f t="shared" si="12"/>
        <v>0</v>
      </c>
      <c r="BH24" s="254">
        <f t="shared" si="12"/>
        <v>0</v>
      </c>
      <c r="BI24" s="254">
        <f t="shared" si="12"/>
        <v>0</v>
      </c>
      <c r="BJ24" s="254">
        <f t="shared" si="12"/>
        <v>0</v>
      </c>
      <c r="BK24" s="254">
        <f t="shared" si="12"/>
        <v>0</v>
      </c>
      <c r="BL24" s="254">
        <f t="shared" si="12"/>
        <v>0</v>
      </c>
      <c r="BM24" s="254">
        <f t="shared" si="12"/>
        <v>0</v>
      </c>
      <c r="BN24" s="254">
        <f t="shared" si="12"/>
        <v>0</v>
      </c>
      <c r="BO24" s="254">
        <f t="shared" si="12"/>
        <v>0</v>
      </c>
      <c r="BP24" s="254">
        <f t="shared" si="12"/>
        <v>0</v>
      </c>
      <c r="BQ24" s="254">
        <f t="shared" si="12"/>
        <v>0</v>
      </c>
      <c r="BR24" s="254">
        <f t="shared" si="12"/>
        <v>0</v>
      </c>
      <c r="BS24" s="254">
        <f t="shared" si="12"/>
        <v>0</v>
      </c>
      <c r="BT24" s="254">
        <f t="shared" si="12"/>
        <v>0</v>
      </c>
      <c r="BU24" s="254">
        <f t="shared" si="12"/>
        <v>0</v>
      </c>
      <c r="BV24" s="254">
        <f t="shared" si="12"/>
        <v>0</v>
      </c>
      <c r="BW24" s="254">
        <f t="shared" si="12"/>
        <v>0</v>
      </c>
      <c r="BX24" s="254">
        <f t="shared" si="12"/>
        <v>0</v>
      </c>
      <c r="BY24" s="255">
        <f t="shared" si="12"/>
        <v>-3375000</v>
      </c>
      <c r="BZ24" s="564"/>
      <c r="CA24" s="229"/>
      <c r="CB24" s="229">
        <f>BZ9</f>
        <v>63561333.333333336</v>
      </c>
      <c r="CC24" s="229"/>
      <c r="CD24" s="256" t="e">
        <f t="array" aca="1" ref="CD24" ca="1">SUM(INDEX(E24:BX24, , 1):INDEX(E24:BX24, ,MATCH($CD$4, $E$3:$BX$3,0) ))</f>
        <v>#N/A</v>
      </c>
      <c r="CE24" s="564"/>
    </row>
    <row r="25" spans="2:83" ht="15.95" outlineLevel="1">
      <c r="B25" s="569"/>
      <c r="C25" s="257" t="s">
        <v>203</v>
      </c>
      <c r="D25" s="261" t="s">
        <v>191</v>
      </c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345"/>
      <c r="R25" s="345"/>
      <c r="S25" s="345">
        <f>-280000</f>
        <v>-280000</v>
      </c>
      <c r="T25" s="345"/>
      <c r="U25" s="345">
        <f>-420000</f>
        <v>-420000</v>
      </c>
      <c r="V25" s="345"/>
      <c r="W25" s="345"/>
      <c r="X25" s="345">
        <f>-700000</f>
        <v>-700000</v>
      </c>
      <c r="Y25" s="350"/>
      <c r="Z25" s="345">
        <f>-900000</f>
        <v>-900000</v>
      </c>
      <c r="AA25" s="345"/>
      <c r="AB25" s="345">
        <f t="shared" ref="AB25:AC25" si="13">-1075000/2</f>
        <v>-537500</v>
      </c>
      <c r="AC25" s="345">
        <f t="shared" si="13"/>
        <v>-537500</v>
      </c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4">
        <f t="shared" ref="BY25:BY26" si="14">SUM(E25:BX25)</f>
        <v>-3375000</v>
      </c>
      <c r="BZ25" s="564"/>
      <c r="CA25" s="346">
        <v>1905000</v>
      </c>
      <c r="CB25" s="229"/>
      <c r="CC25" s="229"/>
      <c r="CD25" s="256" t="e">
        <f t="shared" ref="CD25:CD26" ca="1" si="15">SUM(INDEX(AC25:BX25, , 1):INDEX(AC25:BX25, ,MATCH(#REF!, $E$3:$BX$3,0) ))</f>
        <v>#REF!</v>
      </c>
      <c r="CE25" s="564"/>
    </row>
    <row r="26" spans="2:83" ht="15.95" outlineLevel="1">
      <c r="B26" s="569"/>
      <c r="C26" s="257" t="s">
        <v>204</v>
      </c>
      <c r="D26" s="261" t="s">
        <v>191</v>
      </c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>
        <f>-Businessplan_prodej!$F$22*0.4</f>
        <v>0</v>
      </c>
      <c r="Z26" s="262"/>
      <c r="AA26" s="262"/>
      <c r="AB26" s="262"/>
      <c r="AC26" s="262">
        <f>-Businessplan_prodej!$F$22*0.6</f>
        <v>0</v>
      </c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4">
        <f t="shared" si="14"/>
        <v>0</v>
      </c>
      <c r="BZ26" s="564"/>
      <c r="CA26" s="229"/>
      <c r="CB26" s="229"/>
      <c r="CC26" s="229"/>
      <c r="CD26" s="256" t="e">
        <f t="shared" ca="1" si="15"/>
        <v>#REF!</v>
      </c>
      <c r="CE26" s="564"/>
    </row>
    <row r="27" spans="2:83" ht="15.95">
      <c r="B27" s="569"/>
      <c r="C27" s="252" t="s">
        <v>205</v>
      </c>
      <c r="D27" s="253"/>
      <c r="E27" s="254">
        <f t="shared" ref="E27:BX27" si="16">SUM(E28:E34)</f>
        <v>0</v>
      </c>
      <c r="F27" s="254">
        <f t="shared" si="16"/>
        <v>0</v>
      </c>
      <c r="G27" s="254">
        <f t="shared" si="16"/>
        <v>0</v>
      </c>
      <c r="H27" s="254">
        <f t="shared" si="16"/>
        <v>0</v>
      </c>
      <c r="I27" s="254">
        <f t="shared" si="16"/>
        <v>0</v>
      </c>
      <c r="J27" s="254">
        <f t="shared" si="16"/>
        <v>0</v>
      </c>
      <c r="K27" s="254">
        <f t="shared" si="16"/>
        <v>0</v>
      </c>
      <c r="L27" s="254">
        <f t="shared" si="16"/>
        <v>0</v>
      </c>
      <c r="M27" s="254">
        <f t="shared" si="16"/>
        <v>0</v>
      </c>
      <c r="N27" s="254">
        <f t="shared" si="16"/>
        <v>0</v>
      </c>
      <c r="O27" s="254">
        <f t="shared" si="16"/>
        <v>0</v>
      </c>
      <c r="P27" s="254">
        <f t="shared" si="16"/>
        <v>0</v>
      </c>
      <c r="Q27" s="254">
        <f t="shared" si="16"/>
        <v>0</v>
      </c>
      <c r="R27" s="254">
        <f t="shared" si="16"/>
        <v>0</v>
      </c>
      <c r="S27" s="254">
        <f t="shared" si="16"/>
        <v>0</v>
      </c>
      <c r="T27" s="254">
        <f t="shared" si="16"/>
        <v>0</v>
      </c>
      <c r="U27" s="254">
        <f t="shared" si="16"/>
        <v>-100000</v>
      </c>
      <c r="V27" s="254">
        <f t="shared" si="16"/>
        <v>-100000</v>
      </c>
      <c r="W27" s="254">
        <f t="shared" si="16"/>
        <v>0</v>
      </c>
      <c r="X27" s="254">
        <f t="shared" si="16"/>
        <v>0</v>
      </c>
      <c r="Y27" s="254">
        <f t="shared" si="16"/>
        <v>0</v>
      </c>
      <c r="Z27" s="254">
        <f t="shared" si="16"/>
        <v>1</v>
      </c>
      <c r="AA27" s="254">
        <f t="shared" si="16"/>
        <v>1</v>
      </c>
      <c r="AB27" s="254">
        <f t="shared" si="16"/>
        <v>1</v>
      </c>
      <c r="AC27" s="254">
        <f t="shared" si="16"/>
        <v>1</v>
      </c>
      <c r="AD27" s="254">
        <f t="shared" si="16"/>
        <v>1</v>
      </c>
      <c r="AE27" s="254">
        <f t="shared" si="16"/>
        <v>1</v>
      </c>
      <c r="AF27" s="254">
        <f t="shared" si="16"/>
        <v>1</v>
      </c>
      <c r="AG27" s="254">
        <f t="shared" si="16"/>
        <v>-7671579.5350000001</v>
      </c>
      <c r="AH27" s="254">
        <f t="shared" si="16"/>
        <v>-7671579.5350000001</v>
      </c>
      <c r="AI27" s="254">
        <f t="shared" si="16"/>
        <v>-7671580.5350000001</v>
      </c>
      <c r="AJ27" s="254">
        <f t="shared" si="16"/>
        <v>-7671580.5350000001</v>
      </c>
      <c r="AK27" s="254">
        <f t="shared" si="16"/>
        <v>-7671580.5350000001</v>
      </c>
      <c r="AL27" s="254">
        <f t="shared" si="16"/>
        <v>-7671580.5350000001</v>
      </c>
      <c r="AM27" s="254">
        <f t="shared" si="16"/>
        <v>-7671580.5350000001</v>
      </c>
      <c r="AN27" s="254">
        <f t="shared" si="16"/>
        <v>-7471580.5350000001</v>
      </c>
      <c r="AO27" s="254">
        <f t="shared" si="16"/>
        <v>0</v>
      </c>
      <c r="AP27" s="254">
        <f t="shared" si="16"/>
        <v>0</v>
      </c>
      <c r="AQ27" s="254">
        <f t="shared" si="16"/>
        <v>0</v>
      </c>
      <c r="AR27" s="254">
        <f t="shared" si="16"/>
        <v>0</v>
      </c>
      <c r="AS27" s="254">
        <f t="shared" si="16"/>
        <v>0</v>
      </c>
      <c r="AT27" s="254">
        <f t="shared" si="16"/>
        <v>0</v>
      </c>
      <c r="AU27" s="254">
        <f t="shared" si="16"/>
        <v>0</v>
      </c>
      <c r="AV27" s="254">
        <f t="shared" si="16"/>
        <v>0</v>
      </c>
      <c r="AW27" s="254">
        <f t="shared" si="16"/>
        <v>0</v>
      </c>
      <c r="AX27" s="254">
        <f t="shared" si="16"/>
        <v>0</v>
      </c>
      <c r="AY27" s="254">
        <f t="shared" si="16"/>
        <v>0</v>
      </c>
      <c r="AZ27" s="254">
        <f t="shared" si="16"/>
        <v>0</v>
      </c>
      <c r="BA27" s="254">
        <f t="shared" si="16"/>
        <v>0</v>
      </c>
      <c r="BB27" s="254">
        <f t="shared" si="16"/>
        <v>0</v>
      </c>
      <c r="BC27" s="254">
        <f t="shared" si="16"/>
        <v>0</v>
      </c>
      <c r="BD27" s="254">
        <f t="shared" si="16"/>
        <v>0</v>
      </c>
      <c r="BE27" s="254">
        <f t="shared" si="16"/>
        <v>0</v>
      </c>
      <c r="BF27" s="254">
        <f t="shared" si="16"/>
        <v>0</v>
      </c>
      <c r="BG27" s="254">
        <f t="shared" si="16"/>
        <v>0</v>
      </c>
      <c r="BH27" s="254">
        <f t="shared" si="16"/>
        <v>0</v>
      </c>
      <c r="BI27" s="254">
        <f t="shared" si="16"/>
        <v>0</v>
      </c>
      <c r="BJ27" s="254">
        <f t="shared" si="16"/>
        <v>0</v>
      </c>
      <c r="BK27" s="254">
        <f t="shared" si="16"/>
        <v>0</v>
      </c>
      <c r="BL27" s="254">
        <f t="shared" si="16"/>
        <v>0</v>
      </c>
      <c r="BM27" s="254">
        <f t="shared" si="16"/>
        <v>0</v>
      </c>
      <c r="BN27" s="254">
        <f t="shared" si="16"/>
        <v>0</v>
      </c>
      <c r="BO27" s="254">
        <f t="shared" si="16"/>
        <v>0</v>
      </c>
      <c r="BP27" s="254">
        <f t="shared" si="16"/>
        <v>0</v>
      </c>
      <c r="BQ27" s="254">
        <f t="shared" si="16"/>
        <v>0</v>
      </c>
      <c r="BR27" s="254">
        <f t="shared" si="16"/>
        <v>0</v>
      </c>
      <c r="BS27" s="254">
        <f t="shared" si="16"/>
        <v>0</v>
      </c>
      <c r="BT27" s="254">
        <f t="shared" si="16"/>
        <v>0</v>
      </c>
      <c r="BU27" s="254">
        <f t="shared" si="16"/>
        <v>0</v>
      </c>
      <c r="BV27" s="254">
        <f t="shared" si="16"/>
        <v>0</v>
      </c>
      <c r="BW27" s="254">
        <f t="shared" si="16"/>
        <v>0</v>
      </c>
      <c r="BX27" s="254">
        <f t="shared" si="16"/>
        <v>0</v>
      </c>
      <c r="BY27" s="256">
        <f>SUM(BY28:BY34)</f>
        <v>-61372635.279999986</v>
      </c>
      <c r="BZ27" s="564"/>
      <c r="CA27" s="229"/>
      <c r="CB27" s="248">
        <f>CB24/(CB24+CB18)</f>
        <v>0.65581004419629496</v>
      </c>
      <c r="CC27" s="229"/>
      <c r="CD27" s="256" t="e">
        <f t="array" aca="1" ref="CD27" ca="1">SUM(INDEX(E27:BX27, , 1):INDEX(E27:BX27, ,MATCH($CD$4, $E$3:$BX$3,0) ))</f>
        <v>#N/A</v>
      </c>
      <c r="CE27" s="564"/>
    </row>
    <row r="28" spans="2:83" ht="15.95" outlineLevel="1">
      <c r="B28" s="569"/>
      <c r="C28" s="257" t="s">
        <v>206</v>
      </c>
      <c r="D28" s="258" t="s">
        <v>191</v>
      </c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348"/>
      <c r="AA28" s="259"/>
      <c r="AB28" s="259"/>
      <c r="AC28" s="259"/>
      <c r="AD28" s="259"/>
      <c r="AE28" s="259"/>
      <c r="AF28" s="259"/>
      <c r="AG28" s="259">
        <f>(-Businessplan_prodej!$C$40+Businessplan_prodej!$F$38)/8</f>
        <v>-7671580.5350000001</v>
      </c>
      <c r="AH28" s="259">
        <f>(-Businessplan_prodej!$C$40+Businessplan_prodej!$F$38)/8</f>
        <v>-7671580.5350000001</v>
      </c>
      <c r="AI28" s="259">
        <f>(-Businessplan_prodej!$C$40+Businessplan_prodej!$F$38)/8</f>
        <v>-7671580.5350000001</v>
      </c>
      <c r="AJ28" s="259">
        <f>(-Businessplan_prodej!$C$40+Businessplan_prodej!$F$38)/8</f>
        <v>-7671580.5350000001</v>
      </c>
      <c r="AK28" s="259">
        <f>(-Businessplan_prodej!$C$40+Businessplan_prodej!$F$38)/8</f>
        <v>-7671580.5350000001</v>
      </c>
      <c r="AL28" s="259">
        <f>(-Businessplan_prodej!$C$40+Businessplan_prodej!$F$38)/8</f>
        <v>-7671580.5350000001</v>
      </c>
      <c r="AM28" s="259">
        <f>(-Businessplan_prodej!$C$40+Businessplan_prodej!$F$38)/8</f>
        <v>-7671580.5350000001</v>
      </c>
      <c r="AN28" s="259">
        <f>(-Businessplan_prodej!$C$40+Businessplan_prodej!$F$38)/8-BY31</f>
        <v>-7471580.5350000001</v>
      </c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  <c r="BV28" s="259"/>
      <c r="BW28" s="259"/>
      <c r="BX28" s="265"/>
      <c r="BY28" s="266">
        <f t="shared" ref="BY28:BY34" si="17">SUM(E28:BX28)</f>
        <v>-61172644.279999986</v>
      </c>
      <c r="BZ28" s="564"/>
      <c r="CA28" s="229"/>
      <c r="CB28" s="229"/>
      <c r="CC28" s="229"/>
      <c r="CD28" s="256" t="e">
        <f t="shared" ref="CD28:CD34" ca="1" si="18">SUM(INDEX(AC28:BX28, , 1):INDEX(AC28:BX28, ,MATCH(#REF!, $E$3:$BX$3,0) ))</f>
        <v>#REF!</v>
      </c>
      <c r="CE28" s="564"/>
    </row>
    <row r="29" spans="2:83" ht="15.95" outlineLevel="1">
      <c r="B29" s="569"/>
      <c r="C29" s="257" t="s">
        <v>207</v>
      </c>
      <c r="D29" s="258" t="s">
        <v>191</v>
      </c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>
        <v>1</v>
      </c>
      <c r="AA29" s="259">
        <v>1</v>
      </c>
      <c r="AB29" s="259">
        <v>1</v>
      </c>
      <c r="AC29" s="259">
        <v>1</v>
      </c>
      <c r="AD29" s="259">
        <v>1</v>
      </c>
      <c r="AE29" s="259">
        <v>1</v>
      </c>
      <c r="AF29" s="259">
        <v>1</v>
      </c>
      <c r="AG29" s="259">
        <v>1</v>
      </c>
      <c r="AH29" s="259">
        <v>1</v>
      </c>
      <c r="AI29" s="259"/>
      <c r="AJ29" s="259"/>
      <c r="AK29" s="259"/>
      <c r="AL29" s="259"/>
      <c r="AM29" s="259"/>
      <c r="AN29" s="259"/>
      <c r="AO29" s="259"/>
      <c r="AP29" s="259"/>
      <c r="AQ29" s="259"/>
      <c r="AR29" s="259"/>
      <c r="AS29" s="259"/>
      <c r="AT29" s="259"/>
      <c r="AU29" s="259"/>
      <c r="AV29" s="259"/>
      <c r="AW29" s="259"/>
      <c r="AX29" s="259"/>
      <c r="AY29" s="259"/>
      <c r="AZ29" s="259"/>
      <c r="BA29" s="259"/>
      <c r="BB29" s="259"/>
      <c r="BC29" s="259"/>
      <c r="BD29" s="259"/>
      <c r="BE29" s="259"/>
      <c r="BF29" s="259"/>
      <c r="BG29" s="259"/>
      <c r="BH29" s="259"/>
      <c r="BI29" s="259"/>
      <c r="BJ29" s="259"/>
      <c r="BK29" s="259"/>
      <c r="BL29" s="259"/>
      <c r="BM29" s="259"/>
      <c r="BN29" s="259"/>
      <c r="BO29" s="259"/>
      <c r="BP29" s="259"/>
      <c r="BQ29" s="259"/>
      <c r="BR29" s="259"/>
      <c r="BS29" s="259"/>
      <c r="BT29" s="259"/>
      <c r="BU29" s="259"/>
      <c r="BV29" s="259"/>
      <c r="BW29" s="259"/>
      <c r="BX29" s="265"/>
      <c r="BY29" s="267">
        <f t="shared" si="17"/>
        <v>9</v>
      </c>
      <c r="BZ29" s="564"/>
      <c r="CA29" s="229"/>
      <c r="CB29" s="229"/>
      <c r="CC29" s="229"/>
      <c r="CD29" s="256" t="e">
        <f t="shared" ca="1" si="18"/>
        <v>#REF!</v>
      </c>
      <c r="CE29" s="564"/>
    </row>
    <row r="30" spans="2:83" ht="15.95" outlineLevel="1">
      <c r="B30" s="569"/>
      <c r="C30" s="257" t="s">
        <v>208</v>
      </c>
      <c r="D30" s="258" t="s">
        <v>191</v>
      </c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259"/>
      <c r="BS30" s="259"/>
      <c r="BT30" s="259"/>
      <c r="BU30" s="259"/>
      <c r="BV30" s="259"/>
      <c r="BW30" s="259"/>
      <c r="BX30" s="265"/>
      <c r="BY30" s="267">
        <f t="shared" si="17"/>
        <v>0</v>
      </c>
      <c r="BZ30" s="564"/>
      <c r="CA30" s="229"/>
      <c r="CB30" s="229"/>
      <c r="CC30" s="229"/>
      <c r="CD30" s="256" t="e">
        <f t="shared" ca="1" si="18"/>
        <v>#REF!</v>
      </c>
      <c r="CE30" s="564"/>
    </row>
    <row r="31" spans="2:83" ht="15.95" outlineLevel="1">
      <c r="B31" s="569"/>
      <c r="C31" s="257" t="s">
        <v>209</v>
      </c>
      <c r="D31" s="258" t="s">
        <v>191</v>
      </c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>
        <f t="shared" ref="U31:V31" si="19">-100000</f>
        <v>-100000</v>
      </c>
      <c r="V31" s="259">
        <f t="shared" si="19"/>
        <v>-100000</v>
      </c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59"/>
      <c r="AW31" s="259"/>
      <c r="AX31" s="259"/>
      <c r="AY31" s="259"/>
      <c r="AZ31" s="259"/>
      <c r="BA31" s="259"/>
      <c r="BB31" s="259"/>
      <c r="BC31" s="259"/>
      <c r="BD31" s="259"/>
      <c r="BE31" s="259"/>
      <c r="BF31" s="259"/>
      <c r="BG31" s="259"/>
      <c r="BH31" s="259"/>
      <c r="BI31" s="259"/>
      <c r="BJ31" s="259"/>
      <c r="BK31" s="259"/>
      <c r="BL31" s="259"/>
      <c r="BM31" s="259"/>
      <c r="BN31" s="259"/>
      <c r="BO31" s="259"/>
      <c r="BP31" s="259"/>
      <c r="BQ31" s="259"/>
      <c r="BR31" s="259"/>
      <c r="BS31" s="259"/>
      <c r="BT31" s="259"/>
      <c r="BU31" s="259"/>
      <c r="BV31" s="259"/>
      <c r="BW31" s="259"/>
      <c r="BX31" s="265"/>
      <c r="BY31" s="267">
        <f t="shared" si="17"/>
        <v>-200000</v>
      </c>
      <c r="BZ31" s="564"/>
      <c r="CA31" s="229"/>
      <c r="CB31" s="229"/>
      <c r="CC31" s="229"/>
      <c r="CD31" s="256" t="e">
        <f t="shared" ca="1" si="18"/>
        <v>#REF!</v>
      </c>
      <c r="CE31" s="564"/>
    </row>
    <row r="32" spans="2:83" ht="15.95" outlineLevel="1">
      <c r="B32" s="569"/>
      <c r="C32" s="257" t="s">
        <v>210</v>
      </c>
      <c r="D32" s="258" t="s">
        <v>191</v>
      </c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  <c r="AP32" s="259"/>
      <c r="AQ32" s="259"/>
      <c r="AR32" s="259"/>
      <c r="AS32" s="259"/>
      <c r="AT32" s="259"/>
      <c r="AU32" s="259"/>
      <c r="AV32" s="259"/>
      <c r="AW32" s="259"/>
      <c r="AX32" s="259"/>
      <c r="AY32" s="259"/>
      <c r="AZ32" s="259"/>
      <c r="BA32" s="259"/>
      <c r="BB32" s="259"/>
      <c r="BC32" s="259"/>
      <c r="BD32" s="259"/>
      <c r="BE32" s="259"/>
      <c r="BF32" s="259"/>
      <c r="BG32" s="259"/>
      <c r="BH32" s="259"/>
      <c r="BI32" s="259"/>
      <c r="BJ32" s="259"/>
      <c r="BK32" s="259"/>
      <c r="BL32" s="259"/>
      <c r="BM32" s="259"/>
      <c r="BN32" s="259"/>
      <c r="BO32" s="259"/>
      <c r="BP32" s="259"/>
      <c r="BQ32" s="259"/>
      <c r="BR32" s="259"/>
      <c r="BS32" s="259"/>
      <c r="BT32" s="259"/>
      <c r="BU32" s="259"/>
      <c r="BV32" s="259"/>
      <c r="BW32" s="259"/>
      <c r="BX32" s="265"/>
      <c r="BY32" s="267">
        <f t="shared" si="17"/>
        <v>0</v>
      </c>
      <c r="BZ32" s="564"/>
      <c r="CA32" s="229"/>
      <c r="CB32" s="229"/>
      <c r="CC32" s="229"/>
      <c r="CD32" s="256" t="e">
        <f t="shared" ca="1" si="18"/>
        <v>#REF!</v>
      </c>
      <c r="CE32" s="564"/>
    </row>
    <row r="33" spans="2:83" ht="15.95" outlineLevel="1">
      <c r="B33" s="569"/>
      <c r="C33" s="268" t="s">
        <v>211</v>
      </c>
      <c r="D33" s="258" t="s">
        <v>191</v>
      </c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  <c r="AP33" s="259"/>
      <c r="AQ33" s="259"/>
      <c r="AR33" s="259"/>
      <c r="AS33" s="259"/>
      <c r="AT33" s="259"/>
      <c r="AU33" s="259"/>
      <c r="AV33" s="259"/>
      <c r="AW33" s="259"/>
      <c r="AX33" s="259"/>
      <c r="AY33" s="259"/>
      <c r="AZ33" s="259"/>
      <c r="BA33" s="259"/>
      <c r="BB33" s="259"/>
      <c r="BC33" s="259"/>
      <c r="BD33" s="259"/>
      <c r="BE33" s="259"/>
      <c r="BF33" s="259"/>
      <c r="BG33" s="259"/>
      <c r="BH33" s="259"/>
      <c r="BI33" s="259"/>
      <c r="BJ33" s="259"/>
      <c r="BK33" s="259"/>
      <c r="BL33" s="259"/>
      <c r="BM33" s="259"/>
      <c r="BN33" s="259"/>
      <c r="BO33" s="259"/>
      <c r="BP33" s="259"/>
      <c r="BQ33" s="259"/>
      <c r="BR33" s="259"/>
      <c r="BS33" s="259"/>
      <c r="BT33" s="259"/>
      <c r="BU33" s="259"/>
      <c r="BV33" s="259"/>
      <c r="BW33" s="259"/>
      <c r="BX33" s="265"/>
      <c r="BY33" s="267">
        <f t="shared" si="17"/>
        <v>0</v>
      </c>
      <c r="BZ33" s="564"/>
      <c r="CA33" s="229"/>
      <c r="CB33" s="229"/>
      <c r="CC33" s="229"/>
      <c r="CD33" s="256" t="e">
        <f t="shared" ca="1" si="18"/>
        <v>#REF!</v>
      </c>
      <c r="CE33" s="564"/>
    </row>
    <row r="34" spans="2:83" ht="15.95" outlineLevel="1">
      <c r="B34" s="569"/>
      <c r="C34" s="257" t="s">
        <v>212</v>
      </c>
      <c r="D34" s="261" t="s">
        <v>191</v>
      </c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65"/>
      <c r="BY34" s="269">
        <f t="shared" si="17"/>
        <v>0</v>
      </c>
      <c r="BZ34" s="564"/>
      <c r="CA34" s="229"/>
      <c r="CB34" s="229"/>
      <c r="CC34" s="229"/>
      <c r="CD34" s="256" t="e">
        <f t="shared" ca="1" si="18"/>
        <v>#REF!</v>
      </c>
      <c r="CE34" s="564"/>
    </row>
    <row r="35" spans="2:83" ht="15.95">
      <c r="B35" s="569"/>
      <c r="C35" s="252" t="s">
        <v>213</v>
      </c>
      <c r="D35" s="253"/>
      <c r="E35" s="254">
        <f t="shared" ref="E35:BX35" si="20">SUM(E36:E37)</f>
        <v>0</v>
      </c>
      <c r="F35" s="254">
        <f t="shared" si="20"/>
        <v>0</v>
      </c>
      <c r="G35" s="254">
        <f t="shared" si="20"/>
        <v>0</v>
      </c>
      <c r="H35" s="254">
        <f t="shared" si="20"/>
        <v>0</v>
      </c>
      <c r="I35" s="254">
        <f t="shared" si="20"/>
        <v>0</v>
      </c>
      <c r="J35" s="254">
        <f t="shared" si="20"/>
        <v>0</v>
      </c>
      <c r="K35" s="254">
        <f t="shared" si="20"/>
        <v>0</v>
      </c>
      <c r="L35" s="254">
        <f t="shared" si="20"/>
        <v>0</v>
      </c>
      <c r="M35" s="254">
        <f t="shared" si="20"/>
        <v>0</v>
      </c>
      <c r="N35" s="254">
        <f t="shared" si="20"/>
        <v>0</v>
      </c>
      <c r="O35" s="254">
        <f t="shared" si="20"/>
        <v>0</v>
      </c>
      <c r="P35" s="254">
        <f t="shared" si="20"/>
        <v>0</v>
      </c>
      <c r="Q35" s="254">
        <f t="shared" si="20"/>
        <v>0</v>
      </c>
      <c r="R35" s="254">
        <f t="shared" si="20"/>
        <v>0</v>
      </c>
      <c r="S35" s="254">
        <f t="shared" si="20"/>
        <v>0</v>
      </c>
      <c r="T35" s="254">
        <f t="shared" si="20"/>
        <v>0</v>
      </c>
      <c r="U35" s="254">
        <f t="shared" si="20"/>
        <v>0</v>
      </c>
      <c r="V35" s="254">
        <f t="shared" si="20"/>
        <v>0</v>
      </c>
      <c r="W35" s="254">
        <f t="shared" si="20"/>
        <v>0</v>
      </c>
      <c r="X35" s="254">
        <f t="shared" si="20"/>
        <v>0</v>
      </c>
      <c r="Y35" s="254">
        <f t="shared" si="20"/>
        <v>0</v>
      </c>
      <c r="Z35" s="254">
        <f t="shared" si="20"/>
        <v>0</v>
      </c>
      <c r="AA35" s="254">
        <f t="shared" si="20"/>
        <v>0</v>
      </c>
      <c r="AB35" s="254">
        <f t="shared" si="20"/>
        <v>0</v>
      </c>
      <c r="AC35" s="254">
        <f t="shared" si="20"/>
        <v>0</v>
      </c>
      <c r="AD35" s="254">
        <f t="shared" si="20"/>
        <v>0</v>
      </c>
      <c r="AE35" s="254">
        <f t="shared" si="20"/>
        <v>0</v>
      </c>
      <c r="AF35" s="254">
        <f t="shared" si="20"/>
        <v>0</v>
      </c>
      <c r="AG35" s="254">
        <f t="shared" si="20"/>
        <v>0</v>
      </c>
      <c r="AH35" s="254">
        <f t="shared" si="20"/>
        <v>0</v>
      </c>
      <c r="AI35" s="254">
        <f t="shared" si="20"/>
        <v>0</v>
      </c>
      <c r="AJ35" s="254">
        <f t="shared" si="20"/>
        <v>-1901500</v>
      </c>
      <c r="AK35" s="254">
        <f t="shared" si="20"/>
        <v>-1901500</v>
      </c>
      <c r="AL35" s="254">
        <f t="shared" si="20"/>
        <v>-1901500</v>
      </c>
      <c r="AM35" s="254">
        <f t="shared" si="20"/>
        <v>-1901500</v>
      </c>
      <c r="AN35" s="254">
        <f t="shared" si="20"/>
        <v>-1901500</v>
      </c>
      <c r="AO35" s="254">
        <f t="shared" si="20"/>
        <v>0</v>
      </c>
      <c r="AP35" s="254">
        <f t="shared" si="20"/>
        <v>0</v>
      </c>
      <c r="AQ35" s="254">
        <f t="shared" si="20"/>
        <v>0</v>
      </c>
      <c r="AR35" s="254">
        <f t="shared" si="20"/>
        <v>0</v>
      </c>
      <c r="AS35" s="254">
        <f t="shared" si="20"/>
        <v>0</v>
      </c>
      <c r="AT35" s="254">
        <f t="shared" si="20"/>
        <v>0</v>
      </c>
      <c r="AU35" s="254">
        <f t="shared" si="20"/>
        <v>0</v>
      </c>
      <c r="AV35" s="254">
        <f t="shared" si="20"/>
        <v>0</v>
      </c>
      <c r="AW35" s="254">
        <f t="shared" si="20"/>
        <v>0</v>
      </c>
      <c r="AX35" s="254">
        <f t="shared" si="20"/>
        <v>0</v>
      </c>
      <c r="AY35" s="254">
        <f t="shared" si="20"/>
        <v>0</v>
      </c>
      <c r="AZ35" s="254">
        <f t="shared" si="20"/>
        <v>0</v>
      </c>
      <c r="BA35" s="254">
        <f t="shared" si="20"/>
        <v>0</v>
      </c>
      <c r="BB35" s="254">
        <f t="shared" si="20"/>
        <v>0</v>
      </c>
      <c r="BC35" s="254">
        <f t="shared" si="20"/>
        <v>0</v>
      </c>
      <c r="BD35" s="254">
        <f t="shared" si="20"/>
        <v>0</v>
      </c>
      <c r="BE35" s="254">
        <f t="shared" si="20"/>
        <v>0</v>
      </c>
      <c r="BF35" s="254">
        <f t="shared" si="20"/>
        <v>0</v>
      </c>
      <c r="BG35" s="254">
        <f t="shared" si="20"/>
        <v>0</v>
      </c>
      <c r="BH35" s="254">
        <f t="shared" si="20"/>
        <v>0</v>
      </c>
      <c r="BI35" s="254">
        <f t="shared" si="20"/>
        <v>0</v>
      </c>
      <c r="BJ35" s="254">
        <f t="shared" si="20"/>
        <v>0</v>
      </c>
      <c r="BK35" s="254">
        <f t="shared" si="20"/>
        <v>0</v>
      </c>
      <c r="BL35" s="254">
        <f t="shared" si="20"/>
        <v>0</v>
      </c>
      <c r="BM35" s="254">
        <f t="shared" si="20"/>
        <v>0</v>
      </c>
      <c r="BN35" s="254">
        <f t="shared" si="20"/>
        <v>0</v>
      </c>
      <c r="BO35" s="254">
        <f t="shared" si="20"/>
        <v>0</v>
      </c>
      <c r="BP35" s="254">
        <f t="shared" si="20"/>
        <v>0</v>
      </c>
      <c r="BQ35" s="254">
        <f t="shared" si="20"/>
        <v>0</v>
      </c>
      <c r="BR35" s="254">
        <f t="shared" si="20"/>
        <v>0</v>
      </c>
      <c r="BS35" s="254">
        <f t="shared" si="20"/>
        <v>0</v>
      </c>
      <c r="BT35" s="254">
        <f t="shared" si="20"/>
        <v>0</v>
      </c>
      <c r="BU35" s="254">
        <f t="shared" si="20"/>
        <v>0</v>
      </c>
      <c r="BV35" s="254">
        <f t="shared" si="20"/>
        <v>0</v>
      </c>
      <c r="BW35" s="254">
        <f t="shared" si="20"/>
        <v>0</v>
      </c>
      <c r="BX35" s="254">
        <f t="shared" si="20"/>
        <v>0</v>
      </c>
      <c r="BY35" s="256">
        <f>SUM(BY36:BY37)</f>
        <v>-9507500</v>
      </c>
      <c r="BZ35" s="564"/>
      <c r="CA35" s="229"/>
      <c r="CB35" s="229"/>
      <c r="CC35" s="229"/>
      <c r="CD35" s="256" t="e">
        <f t="array" aca="1" ref="CD35" ca="1">SUM(INDEX(E35:BX35, , 1):INDEX(E35:BX35, ,MATCH($CD$4, $E$3:$BX$3,0) ))</f>
        <v>#N/A</v>
      </c>
      <c r="CE35" s="564"/>
    </row>
    <row r="36" spans="2:83" ht="15.95" outlineLevel="1">
      <c r="B36" s="569"/>
      <c r="C36" s="257" t="s">
        <v>214</v>
      </c>
      <c r="D36" s="258" t="s">
        <v>191</v>
      </c>
      <c r="E36" s="259"/>
      <c r="F36" s="259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70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>
        <f>-Businessplan_prodej!$F$46/5</f>
        <v>-1901500</v>
      </c>
      <c r="AK36" s="259">
        <f>-Businessplan_prodej!$F$46/5</f>
        <v>-1901500</v>
      </c>
      <c r="AL36" s="259">
        <f>-Businessplan_prodej!$F$46/5</f>
        <v>-1901500</v>
      </c>
      <c r="AM36" s="259">
        <f>-Businessplan_prodej!$F$46/5</f>
        <v>-1901500</v>
      </c>
      <c r="AN36" s="259">
        <f>-Businessplan_prodej!$F$46/5</f>
        <v>-1901500</v>
      </c>
      <c r="AO36" s="259"/>
      <c r="AP36" s="259"/>
      <c r="AQ36" s="259"/>
      <c r="AR36" s="259"/>
      <c r="AS36" s="259"/>
      <c r="AT36" s="259"/>
      <c r="AU36" s="259"/>
      <c r="AV36" s="259"/>
      <c r="AW36" s="259"/>
      <c r="AX36" s="259"/>
      <c r="AY36" s="259"/>
      <c r="AZ36" s="259"/>
      <c r="BA36" s="259"/>
      <c r="BB36" s="259"/>
      <c r="BC36" s="259"/>
      <c r="BD36" s="259"/>
      <c r="BE36" s="259"/>
      <c r="BF36" s="259"/>
      <c r="BG36" s="259"/>
      <c r="BH36" s="259"/>
      <c r="BI36" s="259"/>
      <c r="BJ36" s="259"/>
      <c r="BK36" s="259"/>
      <c r="BL36" s="259"/>
      <c r="BM36" s="259"/>
      <c r="BN36" s="259"/>
      <c r="BO36" s="259"/>
      <c r="BP36" s="259"/>
      <c r="BQ36" s="259"/>
      <c r="BR36" s="259"/>
      <c r="BS36" s="259"/>
      <c r="BT36" s="259"/>
      <c r="BU36" s="259"/>
      <c r="BV36" s="259"/>
      <c r="BW36" s="259"/>
      <c r="BX36" s="265"/>
      <c r="BY36" s="266">
        <f t="shared" ref="BY36:BY37" si="21">SUM(E36:BX36)</f>
        <v>-9507500</v>
      </c>
      <c r="BZ36" s="564"/>
      <c r="CA36" s="229"/>
      <c r="CB36" s="229"/>
      <c r="CC36" s="229"/>
      <c r="CD36" s="256" t="e">
        <f t="array" aca="1" ref="CD36" ca="1">SUM(INDEX(AF36:BX36, , 1):INDEX(AF36:BX36, ,MATCH(#REF!, $E$3:$BX$3,0) ))</f>
        <v>#REF!</v>
      </c>
      <c r="CE36" s="564"/>
    </row>
    <row r="37" spans="2:83" ht="15.95" outlineLevel="1">
      <c r="B37" s="569"/>
      <c r="C37" s="257" t="s">
        <v>215</v>
      </c>
      <c r="D37" s="261" t="s">
        <v>191</v>
      </c>
      <c r="E37" s="259"/>
      <c r="F37" s="259"/>
      <c r="G37" s="259"/>
      <c r="H37" s="259"/>
      <c r="I37" s="259"/>
      <c r="J37" s="259"/>
      <c r="K37" s="259"/>
      <c r="L37" s="259"/>
      <c r="M37" s="259"/>
      <c r="N37" s="259"/>
      <c r="O37" s="259"/>
      <c r="P37" s="259"/>
      <c r="Q37" s="259"/>
      <c r="R37" s="259"/>
      <c r="S37" s="270"/>
      <c r="T37" s="259"/>
      <c r="U37" s="259"/>
      <c r="V37" s="259"/>
      <c r="W37" s="259"/>
      <c r="X37" s="259"/>
      <c r="Y37" s="259"/>
      <c r="Z37" s="259"/>
      <c r="AA37" s="259"/>
      <c r="AB37" s="259"/>
      <c r="AC37" s="259"/>
      <c r="AD37" s="259"/>
      <c r="AE37" s="259"/>
      <c r="AF37" s="259"/>
      <c r="AG37" s="259"/>
      <c r="AH37" s="259"/>
      <c r="AI37" s="259"/>
      <c r="AJ37" s="259"/>
      <c r="AK37" s="259"/>
      <c r="AL37" s="259"/>
      <c r="AM37" s="259"/>
      <c r="AN37" s="259"/>
      <c r="AO37" s="259"/>
      <c r="AP37" s="259"/>
      <c r="AQ37" s="259"/>
      <c r="AR37" s="259"/>
      <c r="AS37" s="259"/>
      <c r="AT37" s="259"/>
      <c r="AU37" s="259"/>
      <c r="AV37" s="259"/>
      <c r="AW37" s="259"/>
      <c r="AX37" s="259"/>
      <c r="AY37" s="259"/>
      <c r="AZ37" s="259"/>
      <c r="BA37" s="259"/>
      <c r="BB37" s="259"/>
      <c r="BC37" s="259"/>
      <c r="BD37" s="259"/>
      <c r="BE37" s="259"/>
      <c r="BF37" s="259"/>
      <c r="BG37" s="259"/>
      <c r="BH37" s="259"/>
      <c r="BI37" s="259"/>
      <c r="BJ37" s="259"/>
      <c r="BK37" s="259"/>
      <c r="BL37" s="259"/>
      <c r="BM37" s="259"/>
      <c r="BN37" s="259"/>
      <c r="BO37" s="259"/>
      <c r="BP37" s="259"/>
      <c r="BQ37" s="259"/>
      <c r="BR37" s="259"/>
      <c r="BS37" s="259"/>
      <c r="BT37" s="259"/>
      <c r="BU37" s="259"/>
      <c r="BV37" s="259"/>
      <c r="BW37" s="259"/>
      <c r="BX37" s="265"/>
      <c r="BY37" s="269">
        <f t="shared" si="21"/>
        <v>0</v>
      </c>
      <c r="BZ37" s="564"/>
      <c r="CA37" s="229"/>
      <c r="CB37" s="229"/>
      <c r="CC37" s="229"/>
      <c r="CD37" s="256" t="e">
        <f t="array" aca="1" ref="CD37" ca="1">SUM(INDEX(AC37:BX37, , 1):INDEX(AC37:BX37, ,MATCH(#REF!, $E$3:$BX$3,0) ))</f>
        <v>#REF!</v>
      </c>
      <c r="CE37" s="564"/>
    </row>
    <row r="38" spans="2:83" ht="15.95">
      <c r="B38" s="569"/>
      <c r="C38" s="252" t="s">
        <v>216</v>
      </c>
      <c r="D38" s="253"/>
      <c r="E38" s="254">
        <f t="shared" ref="E38:BX38" si="22">SUM(E39:E47)</f>
        <v>0</v>
      </c>
      <c r="F38" s="254">
        <f t="shared" si="22"/>
        <v>0</v>
      </c>
      <c r="G38" s="254">
        <f t="shared" si="22"/>
        <v>0</v>
      </c>
      <c r="H38" s="254">
        <f t="shared" si="22"/>
        <v>0</v>
      </c>
      <c r="I38" s="254">
        <f t="shared" si="22"/>
        <v>-87324</v>
      </c>
      <c r="J38" s="254">
        <f t="shared" si="22"/>
        <v>0</v>
      </c>
      <c r="K38" s="254">
        <f t="shared" si="22"/>
        <v>0</v>
      </c>
      <c r="L38" s="254">
        <f t="shared" si="22"/>
        <v>-23422</v>
      </c>
      <c r="M38" s="254">
        <f t="shared" si="22"/>
        <v>0</v>
      </c>
      <c r="N38" s="254">
        <f t="shared" si="22"/>
        <v>-11600</v>
      </c>
      <c r="O38" s="254">
        <f t="shared" si="22"/>
        <v>-25152.89256198347</v>
      </c>
      <c r="P38" s="254">
        <f t="shared" si="22"/>
        <v>-30477.685950413223</v>
      </c>
      <c r="Q38" s="254">
        <f t="shared" si="22"/>
        <v>-359550.41322314052</v>
      </c>
      <c r="R38" s="254">
        <f t="shared" si="22"/>
        <v>-180165.06438016528</v>
      </c>
      <c r="S38" s="254">
        <f t="shared" si="22"/>
        <v>-237446.63256198348</v>
      </c>
      <c r="T38" s="254">
        <f t="shared" si="22"/>
        <v>-169136.63256198348</v>
      </c>
      <c r="U38" s="254">
        <f t="shared" si="22"/>
        <v>-237446.63256198348</v>
      </c>
      <c r="V38" s="254">
        <f t="shared" si="22"/>
        <v>-969894.88256198354</v>
      </c>
      <c r="W38" s="254">
        <f t="shared" si="22"/>
        <v>-169136.63256198348</v>
      </c>
      <c r="X38" s="254">
        <f t="shared" si="22"/>
        <v>-169136.63256198348</v>
      </c>
      <c r="Y38" s="254">
        <f t="shared" si="22"/>
        <v>-169136.63256198348</v>
      </c>
      <c r="Z38" s="254">
        <f t="shared" si="22"/>
        <v>-169136.63256198348</v>
      </c>
      <c r="AA38" s="254">
        <f t="shared" si="22"/>
        <v>-169136.63256198348</v>
      </c>
      <c r="AB38" s="254">
        <f t="shared" si="22"/>
        <v>-169136.63256198348</v>
      </c>
      <c r="AC38" s="254">
        <f t="shared" si="22"/>
        <v>-188110.12256198347</v>
      </c>
      <c r="AD38" s="254">
        <f t="shared" si="22"/>
        <v>-188110.12256198347</v>
      </c>
      <c r="AE38" s="254">
        <f t="shared" si="22"/>
        <v>-188110.12256198347</v>
      </c>
      <c r="AF38" s="254">
        <f t="shared" si="22"/>
        <v>-188110.12256198347</v>
      </c>
      <c r="AG38" s="254">
        <f t="shared" si="22"/>
        <v>-279190.12256198347</v>
      </c>
      <c r="AH38" s="254">
        <f t="shared" si="22"/>
        <v>-427176.18256198347</v>
      </c>
      <c r="AI38" s="254">
        <f t="shared" si="22"/>
        <v>-427176.18256198347</v>
      </c>
      <c r="AJ38" s="254">
        <f t="shared" si="22"/>
        <v>-427176.18256198347</v>
      </c>
      <c r="AK38" s="254">
        <f t="shared" si="22"/>
        <v>-427176.18256198347</v>
      </c>
      <c r="AL38" s="254">
        <f t="shared" si="22"/>
        <v>-427176.18256198347</v>
      </c>
      <c r="AM38" s="254">
        <f t="shared" si="22"/>
        <v>-427176.18256198347</v>
      </c>
      <c r="AN38" s="254">
        <f t="shared" si="22"/>
        <v>-464056.18256198347</v>
      </c>
      <c r="AO38" s="254">
        <f t="shared" si="22"/>
        <v>-800758.25</v>
      </c>
      <c r="AP38" s="254">
        <f t="shared" si="22"/>
        <v>0</v>
      </c>
      <c r="AQ38" s="254">
        <f t="shared" si="22"/>
        <v>0</v>
      </c>
      <c r="AR38" s="254">
        <f t="shared" si="22"/>
        <v>0</v>
      </c>
      <c r="AS38" s="254">
        <f t="shared" si="22"/>
        <v>0</v>
      </c>
      <c r="AT38" s="254">
        <f t="shared" si="22"/>
        <v>0</v>
      </c>
      <c r="AU38" s="254">
        <f t="shared" si="22"/>
        <v>0</v>
      </c>
      <c r="AV38" s="254">
        <f t="shared" si="22"/>
        <v>0</v>
      </c>
      <c r="AW38" s="254">
        <f t="shared" si="22"/>
        <v>0</v>
      </c>
      <c r="AX38" s="254">
        <f t="shared" si="22"/>
        <v>0</v>
      </c>
      <c r="AY38" s="254">
        <f t="shared" si="22"/>
        <v>0</v>
      </c>
      <c r="AZ38" s="254">
        <f t="shared" si="22"/>
        <v>0</v>
      </c>
      <c r="BA38" s="254">
        <f t="shared" si="22"/>
        <v>0</v>
      </c>
      <c r="BB38" s="254">
        <f t="shared" si="22"/>
        <v>0</v>
      </c>
      <c r="BC38" s="254">
        <f t="shared" si="22"/>
        <v>0</v>
      </c>
      <c r="BD38" s="254">
        <f t="shared" si="22"/>
        <v>0</v>
      </c>
      <c r="BE38" s="254">
        <f t="shared" si="22"/>
        <v>0</v>
      </c>
      <c r="BF38" s="254">
        <f t="shared" si="22"/>
        <v>0</v>
      </c>
      <c r="BG38" s="254">
        <f t="shared" si="22"/>
        <v>0</v>
      </c>
      <c r="BH38" s="254">
        <f t="shared" si="22"/>
        <v>0</v>
      </c>
      <c r="BI38" s="254">
        <f t="shared" si="22"/>
        <v>0</v>
      </c>
      <c r="BJ38" s="254">
        <f t="shared" si="22"/>
        <v>0</v>
      </c>
      <c r="BK38" s="254">
        <f t="shared" si="22"/>
        <v>0</v>
      </c>
      <c r="BL38" s="254">
        <f t="shared" si="22"/>
        <v>0</v>
      </c>
      <c r="BM38" s="254">
        <f t="shared" si="22"/>
        <v>0</v>
      </c>
      <c r="BN38" s="254">
        <f t="shared" si="22"/>
        <v>0</v>
      </c>
      <c r="BO38" s="254">
        <f t="shared" si="22"/>
        <v>0</v>
      </c>
      <c r="BP38" s="254">
        <f t="shared" si="22"/>
        <v>0</v>
      </c>
      <c r="BQ38" s="254">
        <f t="shared" si="22"/>
        <v>0</v>
      </c>
      <c r="BR38" s="254">
        <f t="shared" si="22"/>
        <v>0</v>
      </c>
      <c r="BS38" s="254">
        <f t="shared" si="22"/>
        <v>0</v>
      </c>
      <c r="BT38" s="254">
        <f t="shared" si="22"/>
        <v>0</v>
      </c>
      <c r="BU38" s="254">
        <f t="shared" si="22"/>
        <v>0</v>
      </c>
      <c r="BV38" s="254">
        <f t="shared" si="22"/>
        <v>0</v>
      </c>
      <c r="BW38" s="254">
        <f t="shared" si="22"/>
        <v>0</v>
      </c>
      <c r="BX38" s="254">
        <f t="shared" si="22"/>
        <v>0</v>
      </c>
      <c r="BY38" s="256">
        <f>SUM(BY39:BY47)</f>
        <v>-8205938.7724793395</v>
      </c>
      <c r="BZ38" s="564"/>
      <c r="CA38" s="229"/>
      <c r="CB38" s="229"/>
      <c r="CC38" s="229"/>
      <c r="CD38" s="256" t="e">
        <f t="array" aca="1" ref="CD38" ca="1">SUM(INDEX(E38:BX38, , 1):INDEX(E38:BX38, ,MATCH($CD$4, $E$3:$BX$3,0) ))</f>
        <v>#N/A</v>
      </c>
      <c r="CE38" s="564"/>
    </row>
    <row r="39" spans="2:83" ht="15.95" outlineLevel="1">
      <c r="B39" s="569"/>
      <c r="C39" s="268" t="s">
        <v>217</v>
      </c>
      <c r="D39" s="258" t="s">
        <v>191</v>
      </c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/>
      <c r="P39" s="262"/>
      <c r="Q39" s="262">
        <f>-(319440+106480)/1.21</f>
        <v>-352000</v>
      </c>
      <c r="R39" s="262">
        <f t="shared" ref="R39:AN39" si="23">-88000</f>
        <v>-88000</v>
      </c>
      <c r="S39" s="262">
        <f t="shared" si="23"/>
        <v>-88000</v>
      </c>
      <c r="T39" s="262">
        <f t="shared" si="23"/>
        <v>-88000</v>
      </c>
      <c r="U39" s="262">
        <f t="shared" si="23"/>
        <v>-88000</v>
      </c>
      <c r="V39" s="262">
        <f t="shared" si="23"/>
        <v>-88000</v>
      </c>
      <c r="W39" s="262">
        <f t="shared" si="23"/>
        <v>-88000</v>
      </c>
      <c r="X39" s="262">
        <f t="shared" si="23"/>
        <v>-88000</v>
      </c>
      <c r="Y39" s="262">
        <f t="shared" si="23"/>
        <v>-88000</v>
      </c>
      <c r="Z39" s="262">
        <f t="shared" si="23"/>
        <v>-88000</v>
      </c>
      <c r="AA39" s="262">
        <f t="shared" si="23"/>
        <v>-88000</v>
      </c>
      <c r="AB39" s="262">
        <f t="shared" si="23"/>
        <v>-88000</v>
      </c>
      <c r="AC39" s="262">
        <f t="shared" si="23"/>
        <v>-88000</v>
      </c>
      <c r="AD39" s="262">
        <f t="shared" si="23"/>
        <v>-88000</v>
      </c>
      <c r="AE39" s="262">
        <f t="shared" si="23"/>
        <v>-88000</v>
      </c>
      <c r="AF39" s="262">
        <f t="shared" si="23"/>
        <v>-88000</v>
      </c>
      <c r="AG39" s="262">
        <f t="shared" si="23"/>
        <v>-88000</v>
      </c>
      <c r="AH39" s="262">
        <f t="shared" si="23"/>
        <v>-88000</v>
      </c>
      <c r="AI39" s="262">
        <f t="shared" si="23"/>
        <v>-88000</v>
      </c>
      <c r="AJ39" s="262">
        <f t="shared" si="23"/>
        <v>-88000</v>
      </c>
      <c r="AK39" s="262">
        <f t="shared" si="23"/>
        <v>-88000</v>
      </c>
      <c r="AL39" s="262">
        <f t="shared" si="23"/>
        <v>-88000</v>
      </c>
      <c r="AM39" s="262">
        <f t="shared" si="23"/>
        <v>-88000</v>
      </c>
      <c r="AN39" s="262">
        <f t="shared" si="23"/>
        <v>-88000</v>
      </c>
      <c r="AO39" s="262"/>
      <c r="AP39" s="262"/>
      <c r="AQ39" s="262"/>
      <c r="AR39" s="262"/>
      <c r="AS39" s="262"/>
      <c r="AT39" s="262"/>
      <c r="AU39" s="262"/>
      <c r="AV39" s="262"/>
      <c r="AW39" s="262"/>
      <c r="AX39" s="262"/>
      <c r="AY39" s="262"/>
      <c r="AZ39" s="262"/>
      <c r="BA39" s="262"/>
      <c r="BB39" s="262"/>
      <c r="BC39" s="262"/>
      <c r="BD39" s="262"/>
      <c r="BE39" s="262"/>
      <c r="BF39" s="262"/>
      <c r="BG39" s="262"/>
      <c r="BH39" s="262"/>
      <c r="BI39" s="262"/>
      <c r="BJ39" s="262"/>
      <c r="BK39" s="262"/>
      <c r="BL39" s="262"/>
      <c r="BM39" s="262"/>
      <c r="BN39" s="262"/>
      <c r="BO39" s="262"/>
      <c r="BP39" s="262"/>
      <c r="BQ39" s="262"/>
      <c r="BR39" s="262"/>
      <c r="BS39" s="262"/>
      <c r="BT39" s="262"/>
      <c r="BU39" s="262"/>
      <c r="BV39" s="262"/>
      <c r="BW39" s="262"/>
      <c r="BX39" s="271"/>
      <c r="BY39" s="266">
        <f t="shared" ref="BY39:BY47" si="24">SUM(E39:BX39)</f>
        <v>-2376000</v>
      </c>
      <c r="BZ39" s="564"/>
      <c r="CA39" s="229">
        <f>-BY39-BY40</f>
        <v>5968706.0700000003</v>
      </c>
      <c r="CB39" s="229"/>
      <c r="CC39" s="229"/>
      <c r="CD39" s="256" t="e">
        <f t="shared" ref="CD39:CD41" ca="1" si="25">SUM(INDEX(AC39:BX39, , 1):INDEX(AC39:BX39, ,MATCH(#REF!, $E$3:$BX$3,0) ))</f>
        <v>#REF!</v>
      </c>
      <c r="CE39" s="564"/>
    </row>
    <row r="40" spans="2:83" ht="15.95" outlineLevel="1">
      <c r="B40" s="569"/>
      <c r="C40" s="268" t="s">
        <v>218</v>
      </c>
      <c r="D40" s="258" t="s">
        <v>191</v>
      </c>
      <c r="E40" s="262"/>
      <c r="F40" s="262"/>
      <c r="G40" s="262"/>
      <c r="H40" s="262"/>
      <c r="I40" s="262"/>
      <c r="J40" s="262"/>
      <c r="K40" s="262"/>
      <c r="L40" s="262"/>
      <c r="M40" s="262"/>
      <c r="N40" s="262">
        <f>-Businessplan_prodej!$F$56-200</f>
        <v>-200</v>
      </c>
      <c r="O40" s="262"/>
      <c r="P40" s="262"/>
      <c r="Q40" s="262"/>
      <c r="R40" s="262">
        <f t="shared" ref="R40:AB40" si="26">-75893.99</f>
        <v>-75893.990000000005</v>
      </c>
      <c r="S40" s="262">
        <f t="shared" si="26"/>
        <v>-75893.990000000005</v>
      </c>
      <c r="T40" s="262">
        <f t="shared" si="26"/>
        <v>-75893.990000000005</v>
      </c>
      <c r="U40" s="262">
        <f t="shared" si="26"/>
        <v>-75893.990000000005</v>
      </c>
      <c r="V40" s="262">
        <f t="shared" si="26"/>
        <v>-75893.990000000005</v>
      </c>
      <c r="W40" s="262">
        <f t="shared" si="26"/>
        <v>-75893.990000000005</v>
      </c>
      <c r="X40" s="262">
        <f t="shared" si="26"/>
        <v>-75893.990000000005</v>
      </c>
      <c r="Y40" s="262">
        <f t="shared" si="26"/>
        <v>-75893.990000000005</v>
      </c>
      <c r="Z40" s="262">
        <f t="shared" si="26"/>
        <v>-75893.990000000005</v>
      </c>
      <c r="AA40" s="262">
        <f t="shared" si="26"/>
        <v>-75893.990000000005</v>
      </c>
      <c r="AB40" s="262">
        <f t="shared" si="26"/>
        <v>-75893.990000000005</v>
      </c>
      <c r="AC40" s="262">
        <f t="shared" ref="AC40:AG40" si="27">-94867.48</f>
        <v>-94867.48</v>
      </c>
      <c r="AD40" s="262">
        <f t="shared" si="27"/>
        <v>-94867.48</v>
      </c>
      <c r="AE40" s="262">
        <f t="shared" si="27"/>
        <v>-94867.48</v>
      </c>
      <c r="AF40" s="262">
        <f t="shared" si="27"/>
        <v>-94867.48</v>
      </c>
      <c r="AG40" s="262">
        <f t="shared" si="27"/>
        <v>-94867.48</v>
      </c>
      <c r="AH40" s="272">
        <f t="shared" ref="AH40:AM40" si="28">-333933.54</f>
        <v>-333933.53999999998</v>
      </c>
      <c r="AI40" s="272">
        <f t="shared" si="28"/>
        <v>-333933.53999999998</v>
      </c>
      <c r="AJ40" s="272">
        <f t="shared" si="28"/>
        <v>-333933.53999999998</v>
      </c>
      <c r="AK40" s="272">
        <f t="shared" si="28"/>
        <v>-333933.53999999998</v>
      </c>
      <c r="AL40" s="272">
        <f t="shared" si="28"/>
        <v>-333933.53999999998</v>
      </c>
      <c r="AM40" s="272">
        <f t="shared" si="28"/>
        <v>-333933.53999999998</v>
      </c>
      <c r="AN40" s="272">
        <f>-333933.54+54200</f>
        <v>-279733.53999999998</v>
      </c>
      <c r="AO40" s="262"/>
      <c r="AP40" s="262"/>
      <c r="AQ40" s="262"/>
      <c r="AR40" s="262"/>
      <c r="AS40" s="262"/>
      <c r="AT40" s="262"/>
      <c r="AU40" s="262"/>
      <c r="AV40" s="262"/>
      <c r="AW40" s="262"/>
      <c r="AX40" s="262"/>
      <c r="AY40" s="262"/>
      <c r="AZ40" s="262"/>
      <c r="BA40" s="262"/>
      <c r="BB40" s="262"/>
      <c r="BC40" s="262"/>
      <c r="BD40" s="262"/>
      <c r="BE40" s="262"/>
      <c r="BF40" s="262"/>
      <c r="BG40" s="262"/>
      <c r="BH40" s="262"/>
      <c r="BI40" s="262"/>
      <c r="BJ40" s="262"/>
      <c r="BK40" s="262"/>
      <c r="BL40" s="262"/>
      <c r="BM40" s="262"/>
      <c r="BN40" s="262"/>
      <c r="BO40" s="262"/>
      <c r="BP40" s="262"/>
      <c r="BQ40" s="262"/>
      <c r="BR40" s="262"/>
      <c r="BS40" s="262"/>
      <c r="BT40" s="262"/>
      <c r="BU40" s="262"/>
      <c r="BV40" s="262"/>
      <c r="BW40" s="262"/>
      <c r="BX40" s="271"/>
      <c r="BY40" s="267">
        <f t="shared" si="24"/>
        <v>-3592706.0700000003</v>
      </c>
      <c r="BZ40" s="564"/>
      <c r="CA40" s="229">
        <f>2616000</f>
        <v>2616000</v>
      </c>
      <c r="CB40" s="229">
        <f>-BY40-2616000</f>
        <v>976706.0700000003</v>
      </c>
      <c r="CC40" s="229"/>
      <c r="CD40" s="256" t="e">
        <f t="shared" ca="1" si="25"/>
        <v>#REF!</v>
      </c>
      <c r="CE40" s="564"/>
    </row>
    <row r="41" spans="2:83" ht="15.95" outlineLevel="1">
      <c r="B41" s="569"/>
      <c r="C41" s="268" t="s">
        <v>219</v>
      </c>
      <c r="D41" s="258" t="s">
        <v>191</v>
      </c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71"/>
      <c r="BY41" s="267">
        <f t="shared" si="24"/>
        <v>0</v>
      </c>
      <c r="BZ41" s="564"/>
      <c r="CA41" s="229">
        <f>CA39-CA40</f>
        <v>3352706.0700000003</v>
      </c>
      <c r="CB41" s="229"/>
      <c r="CC41" s="229"/>
      <c r="CD41" s="256" t="e">
        <f t="shared" ca="1" si="25"/>
        <v>#REF!</v>
      </c>
      <c r="CE41" s="564"/>
    </row>
    <row r="42" spans="2:83" ht="15.95" outlineLevel="1">
      <c r="B42" s="569"/>
      <c r="C42" s="268" t="s">
        <v>220</v>
      </c>
      <c r="D42" s="258" t="s">
        <v>191</v>
      </c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73"/>
      <c r="T42" s="262"/>
      <c r="U42" s="262"/>
      <c r="V42" s="262"/>
      <c r="W42" s="262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262"/>
      <c r="BD42" s="262"/>
      <c r="BE42" s="262"/>
      <c r="BF42" s="262"/>
      <c r="BG42" s="262"/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71"/>
      <c r="BY42" s="267">
        <f t="shared" si="24"/>
        <v>0</v>
      </c>
      <c r="BZ42" s="564"/>
      <c r="CA42" s="229"/>
      <c r="CB42" s="229">
        <f>CB40-BY39</f>
        <v>3352706.0700000003</v>
      </c>
      <c r="CC42" s="229"/>
      <c r="CD42" s="256"/>
      <c r="CE42" s="564"/>
    </row>
    <row r="43" spans="2:83" ht="15.95" outlineLevel="1">
      <c r="B43" s="569"/>
      <c r="C43" s="257" t="s">
        <v>221</v>
      </c>
      <c r="D43" s="258" t="s">
        <v>191</v>
      </c>
      <c r="E43" s="259"/>
      <c r="F43" s="259"/>
      <c r="G43" s="259"/>
      <c r="H43" s="259"/>
      <c r="I43" s="259"/>
      <c r="J43" s="259"/>
      <c r="K43" s="259"/>
      <c r="L43" s="259">
        <f>-6028</f>
        <v>-6028</v>
      </c>
      <c r="M43" s="259"/>
      <c r="N43" s="259"/>
      <c r="O43" s="259">
        <f>(-20570-7865)/1.21</f>
        <v>-23500</v>
      </c>
      <c r="P43" s="259">
        <f>-2921/1.21</f>
        <v>-2414.0495867768595</v>
      </c>
      <c r="Q43" s="259"/>
      <c r="R43" s="259">
        <f>-4200/1.21</f>
        <v>-3471.0743801652893</v>
      </c>
      <c r="S43" s="259">
        <f>-(Businessplan_prodej!$F$64+SUM($E$43:$P$43))/24</f>
        <v>-4994.0812672176307</v>
      </c>
      <c r="T43" s="259">
        <f>-(Businessplan_prodej!$F$64+SUM($E$43:$P$43))/24</f>
        <v>-4994.0812672176307</v>
      </c>
      <c r="U43" s="259">
        <f>-(Businessplan_prodej!$F$64+SUM($E$43:$P$43))/24</f>
        <v>-4994.0812672176307</v>
      </c>
      <c r="V43" s="259">
        <f>-(Businessplan_prodej!$F$64+SUM($E$43:$P$43))/24</f>
        <v>-4994.0812672176307</v>
      </c>
      <c r="W43" s="259">
        <f>-(Businessplan_prodej!$F$64+SUM($E$43:$P$43))/24</f>
        <v>-4994.0812672176307</v>
      </c>
      <c r="X43" s="259">
        <f>-(Businessplan_prodej!$F$64+SUM($E$43:$P$43))/24</f>
        <v>-4994.0812672176307</v>
      </c>
      <c r="Y43" s="259">
        <f>-(Businessplan_prodej!$F$64+SUM($E$43:$P$43))/24</f>
        <v>-4994.0812672176307</v>
      </c>
      <c r="Z43" s="259">
        <f>-(Businessplan_prodej!$F$64+SUM($E$43:$P$43))/24</f>
        <v>-4994.0812672176307</v>
      </c>
      <c r="AA43" s="259">
        <f>-(Businessplan_prodej!$F$64+SUM($E$43:$P$43))/24</f>
        <v>-4994.0812672176307</v>
      </c>
      <c r="AB43" s="259">
        <f>-(Businessplan_prodej!$F$64+SUM($E$43:$P$43))/24</f>
        <v>-4994.0812672176307</v>
      </c>
      <c r="AC43" s="259">
        <f>-(Businessplan_prodej!$F$64+SUM($E$43:$P$43))/24</f>
        <v>-4994.0812672176307</v>
      </c>
      <c r="AD43" s="259">
        <f>-(Businessplan_prodej!$F$64+SUM($E$43:$P$43))/24</f>
        <v>-4994.0812672176307</v>
      </c>
      <c r="AE43" s="259">
        <f>-(Businessplan_prodej!$F$64+SUM($E$43:$P$43))/24</f>
        <v>-4994.0812672176307</v>
      </c>
      <c r="AF43" s="259">
        <f>-(Businessplan_prodej!$F$64+SUM($E$43:$P$43))/24</f>
        <v>-4994.0812672176307</v>
      </c>
      <c r="AG43" s="259">
        <f>-(Businessplan_prodej!$F$64+SUM($E$43:$P$43))/24</f>
        <v>-4994.0812672176307</v>
      </c>
      <c r="AH43" s="259">
        <f>-(Businessplan_prodej!$F$64+SUM($E$43:$P$43))/24</f>
        <v>-4994.0812672176307</v>
      </c>
      <c r="AI43" s="259">
        <f>-(Businessplan_prodej!$F$64+SUM($E$43:$P$43))/24</f>
        <v>-4994.0812672176307</v>
      </c>
      <c r="AJ43" s="259">
        <f>-(Businessplan_prodej!$F$64+SUM($E$43:$P$43))/24</f>
        <v>-4994.0812672176307</v>
      </c>
      <c r="AK43" s="259">
        <f>-(Businessplan_prodej!$F$64+SUM($E$43:$P$43))/24</f>
        <v>-4994.0812672176307</v>
      </c>
      <c r="AL43" s="259">
        <f>-(Businessplan_prodej!$F$64+SUM($E$43:$P$43))/24</f>
        <v>-4994.0812672176307</v>
      </c>
      <c r="AM43" s="259">
        <f>-(Businessplan_prodej!$F$64+SUM($E$43:$P$43))/24</f>
        <v>-4994.0812672176307</v>
      </c>
      <c r="AN43" s="259">
        <f>-(Businessplan_prodej!$F$64+SUM($E$43:$P$43))/24</f>
        <v>-4994.0812672176307</v>
      </c>
      <c r="AO43" s="259"/>
      <c r="AP43" s="259"/>
      <c r="AQ43" s="259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59"/>
      <c r="BO43" s="259"/>
      <c r="BP43" s="259"/>
      <c r="BQ43" s="259"/>
      <c r="BR43" s="259"/>
      <c r="BS43" s="259"/>
      <c r="BT43" s="259"/>
      <c r="BU43" s="259"/>
      <c r="BV43" s="259"/>
      <c r="BW43" s="259"/>
      <c r="BX43" s="265"/>
      <c r="BY43" s="267">
        <f t="shared" si="24"/>
        <v>-145282.91184572998</v>
      </c>
      <c r="BZ43" s="564"/>
      <c r="CA43" s="229"/>
      <c r="CB43" s="229"/>
      <c r="CC43" s="229"/>
      <c r="CD43" s="256" t="e">
        <f t="shared" ref="CD43:CD44" ca="1" si="29">SUM(INDEX(AC43:BX43, , 1):INDEX(AC43:BX43, ,MATCH(#REF!, $E$3:$BX$3,0) ))</f>
        <v>#REF!</v>
      </c>
      <c r="CE43" s="564"/>
    </row>
    <row r="44" spans="2:83" ht="15.95" outlineLevel="1">
      <c r="B44" s="569"/>
      <c r="C44" s="257" t="s">
        <v>222</v>
      </c>
      <c r="D44" s="258" t="s">
        <v>191</v>
      </c>
      <c r="E44" s="259"/>
      <c r="F44" s="259"/>
      <c r="G44" s="259"/>
      <c r="H44" s="259"/>
      <c r="I44" s="259">
        <f>-87324</f>
        <v>-87324</v>
      </c>
      <c r="J44" s="259"/>
      <c r="K44" s="259"/>
      <c r="L44" s="259">
        <f>-17394</f>
        <v>-17394</v>
      </c>
      <c r="M44" s="259"/>
      <c r="N44" s="259">
        <f>-11400</f>
        <v>-11400</v>
      </c>
      <c r="O44" s="259">
        <f>-2000/1.21</f>
        <v>-1652.8925619834711</v>
      </c>
      <c r="P44" s="259">
        <f>-33957/1.21</f>
        <v>-28063.636363636364</v>
      </c>
      <c r="Q44" s="259">
        <f>-9136/1.21</f>
        <v>-7550.4132231404965</v>
      </c>
      <c r="R44" s="259">
        <f>-15488/1.21</f>
        <v>-12800</v>
      </c>
      <c r="S44" s="259">
        <f>(-Businessplan_prodej!$F$65-SUM($I$44:$P$44))/24</f>
        <v>-248.56129476583979</v>
      </c>
      <c r="T44" s="259">
        <f>(-Businessplan_prodej!$F$65-SUM($I$44:$P$44))/24</f>
        <v>-248.56129476583979</v>
      </c>
      <c r="U44" s="259">
        <f>(-Businessplan_prodej!$F$65-SUM($I$44:$P$44))/24</f>
        <v>-248.56129476583979</v>
      </c>
      <c r="V44" s="259">
        <f>(-Businessplan_prodej!$F$65-SUM($I$44:$P$44))/24</f>
        <v>-248.56129476583979</v>
      </c>
      <c r="W44" s="259">
        <f>(-Businessplan_prodej!$F$65-SUM($I$44:$P$44))/24</f>
        <v>-248.56129476583979</v>
      </c>
      <c r="X44" s="259">
        <f>(-Businessplan_prodej!$F$65-SUM($I$44:$P$44))/24</f>
        <v>-248.56129476583979</v>
      </c>
      <c r="Y44" s="259">
        <f>(-Businessplan_prodej!$F$65-SUM($I$44:$P$44))/24</f>
        <v>-248.56129476583979</v>
      </c>
      <c r="Z44" s="259">
        <f>(-Businessplan_prodej!$F$65-SUM($I$44:$P$44))/24</f>
        <v>-248.56129476583979</v>
      </c>
      <c r="AA44" s="259">
        <f>(-Businessplan_prodej!$F$65-SUM($I$44:$P$44))/24</f>
        <v>-248.56129476583979</v>
      </c>
      <c r="AB44" s="259">
        <f>(-Businessplan_prodej!$F$65-SUM($I$44:$P$44))/24</f>
        <v>-248.56129476583979</v>
      </c>
      <c r="AC44" s="259">
        <f>(-Businessplan_prodej!$F$65-SUM($I$44:$P$44))/24</f>
        <v>-248.56129476583979</v>
      </c>
      <c r="AD44" s="259">
        <f>(-Businessplan_prodej!$F$65-SUM($I$44:$P$44))/24</f>
        <v>-248.56129476583979</v>
      </c>
      <c r="AE44" s="259">
        <f>(-Businessplan_prodej!$F$65-SUM($I$44:$P$44))/24</f>
        <v>-248.56129476583979</v>
      </c>
      <c r="AF44" s="259">
        <f>(-Businessplan_prodej!$F$65-SUM($I$44:$P$44))/24</f>
        <v>-248.56129476583979</v>
      </c>
      <c r="AG44" s="259">
        <f>(-Businessplan_prodej!$F$65-SUM($I$44:$P$44))/24</f>
        <v>-248.56129476583979</v>
      </c>
      <c r="AH44" s="259">
        <f>(-Businessplan_prodej!$F$65-SUM($I$44:$P$44))/24</f>
        <v>-248.56129476583979</v>
      </c>
      <c r="AI44" s="259">
        <f>(-Businessplan_prodej!$F$65-SUM($I$44:$P$44))/24</f>
        <v>-248.56129476583979</v>
      </c>
      <c r="AJ44" s="259">
        <f>(-Businessplan_prodej!$F$65-SUM($I$44:$P$44))/24</f>
        <v>-248.56129476583979</v>
      </c>
      <c r="AK44" s="259">
        <f>(-Businessplan_prodej!$F$65-SUM($I$44:$P$44))/24</f>
        <v>-248.56129476583979</v>
      </c>
      <c r="AL44" s="259">
        <f>(-Businessplan_prodej!$F$65-SUM($I$44:$P$44))/24</f>
        <v>-248.56129476583979</v>
      </c>
      <c r="AM44" s="259">
        <f>(-Businessplan_prodej!$F$65-SUM($I$44:$P$44))/24</f>
        <v>-248.56129476583979</v>
      </c>
      <c r="AN44" s="259">
        <f>(-Businessplan_prodej!$F$65-SUM($I$44:$P$44))/24</f>
        <v>-248.56129476583979</v>
      </c>
      <c r="AO44" s="259"/>
      <c r="AP44" s="259"/>
      <c r="AQ44" s="259"/>
      <c r="AR44" s="259"/>
      <c r="AS44" s="259"/>
      <c r="AT44" s="259"/>
      <c r="AU44" s="259"/>
      <c r="AV44" s="259"/>
      <c r="AW44" s="259"/>
      <c r="AX44" s="259"/>
      <c r="AY44" s="259"/>
      <c r="AZ44" s="259"/>
      <c r="BA44" s="259"/>
      <c r="BB44" s="259"/>
      <c r="BC44" s="259"/>
      <c r="BD44" s="259"/>
      <c r="BE44" s="259"/>
      <c r="BF44" s="259"/>
      <c r="BG44" s="259"/>
      <c r="BH44" s="259"/>
      <c r="BI44" s="259"/>
      <c r="BJ44" s="259"/>
      <c r="BK44" s="259"/>
      <c r="BL44" s="259"/>
      <c r="BM44" s="259"/>
      <c r="BN44" s="259"/>
      <c r="BO44" s="259"/>
      <c r="BP44" s="259"/>
      <c r="BQ44" s="259"/>
      <c r="BR44" s="259"/>
      <c r="BS44" s="259"/>
      <c r="BT44" s="259"/>
      <c r="BU44" s="259"/>
      <c r="BV44" s="259"/>
      <c r="BW44" s="259"/>
      <c r="BX44" s="265"/>
      <c r="BY44" s="267">
        <f t="shared" si="24"/>
        <v>-171653.29063360908</v>
      </c>
      <c r="BZ44" s="564"/>
      <c r="CA44" s="229"/>
      <c r="CB44" s="229"/>
      <c r="CC44" s="229"/>
      <c r="CD44" s="256" t="e">
        <f t="shared" ca="1" si="29"/>
        <v>#REF!</v>
      </c>
      <c r="CE44" s="564"/>
    </row>
    <row r="45" spans="2:83" ht="14.25" customHeight="1" outlineLevel="1">
      <c r="B45" s="569"/>
      <c r="C45" s="257" t="s">
        <v>223</v>
      </c>
      <c r="D45" s="258" t="s">
        <v>191</v>
      </c>
      <c r="E45" s="259"/>
      <c r="F45" s="259"/>
      <c r="G45" s="259"/>
      <c r="H45" s="259"/>
      <c r="I45" s="259"/>
      <c r="J45" s="259"/>
      <c r="K45" s="259"/>
      <c r="L45" s="259"/>
      <c r="M45" s="259"/>
      <c r="N45" s="259"/>
      <c r="O45" s="259"/>
      <c r="P45" s="259"/>
      <c r="Q45" s="259"/>
      <c r="R45" s="259"/>
      <c r="S45" s="259">
        <f>-Businessplan_prodej!$F$66*0.3</f>
        <v>-68310</v>
      </c>
      <c r="T45" s="259"/>
      <c r="U45" s="259">
        <f>-Businessplan_prodej!$F$66*0.3</f>
        <v>-68310</v>
      </c>
      <c r="V45" s="259"/>
      <c r="W45" s="259"/>
      <c r="X45" s="259"/>
      <c r="Y45" s="259"/>
      <c r="Z45" s="259"/>
      <c r="AA45" s="259"/>
      <c r="AB45" s="259"/>
      <c r="AC45" s="259"/>
      <c r="AD45" s="259"/>
      <c r="AE45" s="259"/>
      <c r="AF45" s="259"/>
      <c r="AG45" s="259"/>
      <c r="AH45" s="259"/>
      <c r="AI45" s="259"/>
      <c r="AJ45" s="259"/>
      <c r="AK45" s="259"/>
      <c r="AL45" s="259"/>
      <c r="AM45" s="259"/>
      <c r="AN45" s="259">
        <f>-Businessplan_prodej!$F$66*0.2</f>
        <v>-45540</v>
      </c>
      <c r="AO45" s="259">
        <f>-Businessplan_prodej!$F$66*0.2</f>
        <v>-45540</v>
      </c>
      <c r="AP45" s="259"/>
      <c r="AQ45" s="259"/>
      <c r="AR45" s="259"/>
      <c r="AS45" s="259"/>
      <c r="AT45" s="259"/>
      <c r="AU45" s="259"/>
      <c r="AV45" s="259"/>
      <c r="AW45" s="259"/>
      <c r="AX45" s="259"/>
      <c r="AY45" s="259"/>
      <c r="AZ45" s="259"/>
      <c r="BA45" s="259"/>
      <c r="BB45" s="259"/>
      <c r="BC45" s="259"/>
      <c r="BD45" s="259"/>
      <c r="BE45" s="259"/>
      <c r="BF45" s="259"/>
      <c r="BG45" s="259"/>
      <c r="BH45" s="259"/>
      <c r="BI45" s="259"/>
      <c r="BJ45" s="259"/>
      <c r="BK45" s="259"/>
      <c r="BL45" s="259"/>
      <c r="BM45" s="259"/>
      <c r="BN45" s="259"/>
      <c r="BO45" s="259"/>
      <c r="BP45" s="259"/>
      <c r="BQ45" s="259"/>
      <c r="BR45" s="259"/>
      <c r="BS45" s="259"/>
      <c r="BT45" s="259"/>
      <c r="BU45" s="259"/>
      <c r="BV45" s="259"/>
      <c r="BW45" s="259"/>
      <c r="BX45" s="265"/>
      <c r="BY45" s="267">
        <f t="shared" si="24"/>
        <v>-227700</v>
      </c>
      <c r="BZ45" s="564"/>
      <c r="CA45" s="229"/>
      <c r="CB45" s="229"/>
      <c r="CC45" s="229"/>
      <c r="CD45" s="256" t="e">
        <f t="shared" ref="CD45:CD47" ca="1" si="30">SUM(INDEX(AC45:BX45, , 1):INDEX(AC45:BX45, ,MATCH(CD1, $E$3:$BX$3,0) ))</f>
        <v>#N/A</v>
      </c>
      <c r="CE45" s="564"/>
    </row>
    <row r="46" spans="2:83" ht="14.25" customHeight="1" outlineLevel="1">
      <c r="B46" s="569"/>
      <c r="C46" s="257" t="s">
        <v>224</v>
      </c>
      <c r="D46" s="258" t="s">
        <v>191</v>
      </c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  <c r="P46" s="259"/>
      <c r="Q46" s="259"/>
      <c r="R46" s="259"/>
      <c r="S46" s="259"/>
      <c r="T46" s="259"/>
      <c r="U46" s="259"/>
      <c r="V46" s="259">
        <f>-Businessplan_prodej!$F$67*0.4</f>
        <v>-91080</v>
      </c>
      <c r="W46" s="259"/>
      <c r="X46" s="259"/>
      <c r="Y46" s="259"/>
      <c r="Z46" s="259"/>
      <c r="AA46" s="259"/>
      <c r="AB46" s="259"/>
      <c r="AC46" s="259"/>
      <c r="AD46" s="259"/>
      <c r="AE46" s="259"/>
      <c r="AF46" s="259"/>
      <c r="AG46" s="259">
        <f>-Businessplan_prodej!$F$67*0.4</f>
        <v>-91080</v>
      </c>
      <c r="AH46" s="259"/>
      <c r="AI46" s="259"/>
      <c r="AJ46" s="259"/>
      <c r="AK46" s="259"/>
      <c r="AL46" s="259"/>
      <c r="AM46" s="259"/>
      <c r="AN46" s="259">
        <f>-Businessplan_prodej!$F$67*0.2</f>
        <v>-45540</v>
      </c>
      <c r="AO46" s="259">
        <f>-Businessplan_prodej!$F$67*0.2</f>
        <v>-45540</v>
      </c>
      <c r="AP46" s="259"/>
      <c r="AQ46" s="259"/>
      <c r="AR46" s="259"/>
      <c r="AS46" s="259"/>
      <c r="AT46" s="259"/>
      <c r="AU46" s="259"/>
      <c r="AV46" s="259"/>
      <c r="AW46" s="259"/>
      <c r="AX46" s="259"/>
      <c r="AY46" s="259"/>
      <c r="AZ46" s="259"/>
      <c r="BA46" s="259"/>
      <c r="BB46" s="259"/>
      <c r="BC46" s="259"/>
      <c r="BD46" s="259"/>
      <c r="BE46" s="259"/>
      <c r="BF46" s="259"/>
      <c r="BG46" s="259"/>
      <c r="BH46" s="259"/>
      <c r="BI46" s="259"/>
      <c r="BJ46" s="259"/>
      <c r="BK46" s="259"/>
      <c r="BL46" s="259"/>
      <c r="BM46" s="259"/>
      <c r="BN46" s="259"/>
      <c r="BO46" s="259"/>
      <c r="BP46" s="259"/>
      <c r="BQ46" s="259"/>
      <c r="BR46" s="259"/>
      <c r="BS46" s="259"/>
      <c r="BT46" s="259"/>
      <c r="BU46" s="259"/>
      <c r="BV46" s="259"/>
      <c r="BW46" s="259"/>
      <c r="BX46" s="265"/>
      <c r="BY46" s="267">
        <f t="shared" si="24"/>
        <v>-273240</v>
      </c>
      <c r="BZ46" s="564"/>
      <c r="CA46" s="229"/>
      <c r="CB46" s="229"/>
      <c r="CC46" s="229"/>
      <c r="CD46" s="256" t="e">
        <f t="shared" ca="1" si="30"/>
        <v>#N/A</v>
      </c>
      <c r="CE46" s="564"/>
    </row>
    <row r="47" spans="2:83" ht="14.25" customHeight="1" outlineLevel="1">
      <c r="B47" s="569"/>
      <c r="C47" s="257" t="s">
        <v>225</v>
      </c>
      <c r="D47" s="261" t="s">
        <v>191</v>
      </c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>
        <f>-Businessplan_prodej!$F$68/2</f>
        <v>-709678.25</v>
      </c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9"/>
      <c r="AL47" s="259"/>
      <c r="AM47" s="259"/>
      <c r="AN47" s="259"/>
      <c r="AO47" s="259">
        <f>-Businessplan_prodej!$F$68/2</f>
        <v>-709678.25</v>
      </c>
      <c r="AP47" s="259"/>
      <c r="AQ47" s="259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59"/>
      <c r="BR47" s="259"/>
      <c r="BS47" s="259"/>
      <c r="BT47" s="259"/>
      <c r="BU47" s="259"/>
      <c r="BV47" s="259"/>
      <c r="BW47" s="259"/>
      <c r="BX47" s="265"/>
      <c r="BY47" s="267">
        <f t="shared" si="24"/>
        <v>-1419356.5</v>
      </c>
      <c r="BZ47" s="564"/>
      <c r="CA47" s="229"/>
      <c r="CB47" s="229"/>
      <c r="CC47" s="229"/>
      <c r="CD47" s="256" t="e">
        <f t="shared" ca="1" si="30"/>
        <v>#N/A</v>
      </c>
      <c r="CE47" s="564"/>
    </row>
    <row r="48" spans="2:83" ht="15.95">
      <c r="B48" s="569"/>
      <c r="C48" s="252" t="s">
        <v>226</v>
      </c>
      <c r="D48" s="253"/>
      <c r="E48" s="254">
        <f t="shared" ref="E48:BX48" si="31">SUM(E49:E53)</f>
        <v>0</v>
      </c>
      <c r="F48" s="254">
        <f t="shared" si="31"/>
        <v>0</v>
      </c>
      <c r="G48" s="254">
        <f t="shared" si="31"/>
        <v>0</v>
      </c>
      <c r="H48" s="254">
        <f t="shared" si="31"/>
        <v>0</v>
      </c>
      <c r="I48" s="254">
        <f t="shared" si="31"/>
        <v>0</v>
      </c>
      <c r="J48" s="254">
        <f t="shared" si="31"/>
        <v>0</v>
      </c>
      <c r="K48" s="254">
        <f t="shared" si="31"/>
        <v>-600</v>
      </c>
      <c r="L48" s="254">
        <f t="shared" si="31"/>
        <v>-699.1</v>
      </c>
      <c r="M48" s="254">
        <f t="shared" si="31"/>
        <v>-607.44000000000005</v>
      </c>
      <c r="N48" s="254">
        <f t="shared" si="31"/>
        <v>-621</v>
      </c>
      <c r="O48" s="254">
        <f t="shared" si="31"/>
        <v>-935</v>
      </c>
      <c r="P48" s="254">
        <f t="shared" si="31"/>
        <v>-921</v>
      </c>
      <c r="Q48" s="254">
        <f t="shared" si="31"/>
        <v>-935</v>
      </c>
      <c r="R48" s="254">
        <f t="shared" si="31"/>
        <v>-628</v>
      </c>
      <c r="S48" s="254">
        <f t="shared" si="31"/>
        <v>-1000</v>
      </c>
      <c r="T48" s="254">
        <f t="shared" si="31"/>
        <v>-1000</v>
      </c>
      <c r="U48" s="254">
        <f t="shared" si="31"/>
        <v>-1000</v>
      </c>
      <c r="V48" s="254">
        <f t="shared" si="31"/>
        <v>-1000</v>
      </c>
      <c r="W48" s="254">
        <f t="shared" si="31"/>
        <v>-1000</v>
      </c>
      <c r="X48" s="254">
        <f t="shared" si="31"/>
        <v>-1000</v>
      </c>
      <c r="Y48" s="254">
        <f t="shared" si="31"/>
        <v>-1000</v>
      </c>
      <c r="Z48" s="254">
        <f t="shared" si="31"/>
        <v>-1000</v>
      </c>
      <c r="AA48" s="254">
        <f t="shared" si="31"/>
        <v>-1000</v>
      </c>
      <c r="AB48" s="254">
        <f t="shared" si="31"/>
        <v>-1000</v>
      </c>
      <c r="AC48" s="254">
        <f t="shared" si="31"/>
        <v>-1000</v>
      </c>
      <c r="AD48" s="254">
        <f t="shared" si="31"/>
        <v>-1000</v>
      </c>
      <c r="AE48" s="254">
        <f t="shared" si="31"/>
        <v>-1000</v>
      </c>
      <c r="AF48" s="254">
        <f t="shared" si="31"/>
        <v>-1000</v>
      </c>
      <c r="AG48" s="254">
        <f t="shared" si="31"/>
        <v>-1000</v>
      </c>
      <c r="AH48" s="254">
        <f t="shared" si="31"/>
        <v>-1000</v>
      </c>
      <c r="AI48" s="254">
        <f t="shared" si="31"/>
        <v>-134869.03677273751</v>
      </c>
      <c r="AJ48" s="254">
        <f t="shared" si="31"/>
        <v>-1000</v>
      </c>
      <c r="AK48" s="254">
        <f t="shared" si="31"/>
        <v>-1000</v>
      </c>
      <c r="AL48" s="254">
        <f t="shared" si="31"/>
        <v>-1000</v>
      </c>
      <c r="AM48" s="254">
        <f t="shared" si="31"/>
        <v>-1000</v>
      </c>
      <c r="AN48" s="254">
        <f t="shared" si="31"/>
        <v>-1000</v>
      </c>
      <c r="AO48" s="254">
        <f t="shared" si="31"/>
        <v>-1000</v>
      </c>
      <c r="AP48" s="254">
        <f t="shared" si="31"/>
        <v>0</v>
      </c>
      <c r="AQ48" s="254">
        <f t="shared" si="31"/>
        <v>0</v>
      </c>
      <c r="AR48" s="254">
        <f t="shared" si="31"/>
        <v>0</v>
      </c>
      <c r="AS48" s="254">
        <f t="shared" si="31"/>
        <v>0</v>
      </c>
      <c r="AT48" s="254">
        <f t="shared" si="31"/>
        <v>0</v>
      </c>
      <c r="AU48" s="254">
        <f t="shared" si="31"/>
        <v>0</v>
      </c>
      <c r="AV48" s="254">
        <f t="shared" si="31"/>
        <v>0</v>
      </c>
      <c r="AW48" s="254">
        <f t="shared" si="31"/>
        <v>0</v>
      </c>
      <c r="AX48" s="254">
        <f t="shared" si="31"/>
        <v>0</v>
      </c>
      <c r="AY48" s="254">
        <f t="shared" si="31"/>
        <v>0</v>
      </c>
      <c r="AZ48" s="254">
        <f t="shared" si="31"/>
        <v>0</v>
      </c>
      <c r="BA48" s="254">
        <f t="shared" si="31"/>
        <v>0</v>
      </c>
      <c r="BB48" s="254">
        <f t="shared" si="31"/>
        <v>0</v>
      </c>
      <c r="BC48" s="254">
        <f t="shared" si="31"/>
        <v>0</v>
      </c>
      <c r="BD48" s="254">
        <f t="shared" si="31"/>
        <v>0</v>
      </c>
      <c r="BE48" s="254">
        <f t="shared" si="31"/>
        <v>0</v>
      </c>
      <c r="BF48" s="254">
        <f t="shared" si="31"/>
        <v>0</v>
      </c>
      <c r="BG48" s="254">
        <f t="shared" si="31"/>
        <v>0</v>
      </c>
      <c r="BH48" s="254">
        <f t="shared" si="31"/>
        <v>0</v>
      </c>
      <c r="BI48" s="254">
        <f t="shared" si="31"/>
        <v>0</v>
      </c>
      <c r="BJ48" s="254">
        <f t="shared" si="31"/>
        <v>0</v>
      </c>
      <c r="BK48" s="254">
        <f t="shared" si="31"/>
        <v>0</v>
      </c>
      <c r="BL48" s="254">
        <f t="shared" si="31"/>
        <v>0</v>
      </c>
      <c r="BM48" s="254">
        <f t="shared" si="31"/>
        <v>0</v>
      </c>
      <c r="BN48" s="254">
        <f t="shared" si="31"/>
        <v>0</v>
      </c>
      <c r="BO48" s="254">
        <f t="shared" si="31"/>
        <v>0</v>
      </c>
      <c r="BP48" s="254">
        <f t="shared" si="31"/>
        <v>0</v>
      </c>
      <c r="BQ48" s="254">
        <f t="shared" si="31"/>
        <v>0</v>
      </c>
      <c r="BR48" s="254">
        <f t="shared" si="31"/>
        <v>0</v>
      </c>
      <c r="BS48" s="254">
        <f t="shared" si="31"/>
        <v>0</v>
      </c>
      <c r="BT48" s="254">
        <f t="shared" si="31"/>
        <v>0</v>
      </c>
      <c r="BU48" s="254">
        <f t="shared" si="31"/>
        <v>0</v>
      </c>
      <c r="BV48" s="254">
        <f t="shared" si="31"/>
        <v>0</v>
      </c>
      <c r="BW48" s="254">
        <f t="shared" si="31"/>
        <v>0</v>
      </c>
      <c r="BX48" s="254">
        <f t="shared" si="31"/>
        <v>0</v>
      </c>
      <c r="BY48" s="256">
        <f>SUM(BY49:BY53)</f>
        <v>-162815.57677273752</v>
      </c>
      <c r="BZ48" s="564"/>
      <c r="CA48" s="229"/>
      <c r="CB48" s="229">
        <f>SUM(E5:AN6)</f>
        <v>55277832</v>
      </c>
      <c r="CC48" s="229">
        <f>52600000</f>
        <v>52600000</v>
      </c>
      <c r="CD48" s="256" t="e">
        <f t="array" aca="1" ref="CD48" ca="1">SUM(INDEX(E48:BX48, , 1):INDEX(E48:BX48, ,MATCH($CD$4, $E$3:$BX$3,0) ))</f>
        <v>#N/A</v>
      </c>
      <c r="CE48" s="564"/>
    </row>
    <row r="49" spans="2:83" ht="15.95" outlineLevel="1">
      <c r="B49" s="569"/>
      <c r="C49" s="257" t="s">
        <v>227</v>
      </c>
      <c r="D49" s="258" t="s">
        <v>191</v>
      </c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59"/>
      <c r="AH49" s="259"/>
      <c r="AI49" s="259">
        <f>-Businessplan_prodej!$F$76</f>
        <v>-133869.03677273751</v>
      </c>
      <c r="AJ49" s="259"/>
      <c r="AK49" s="259"/>
      <c r="AL49" s="259"/>
      <c r="AM49" s="259"/>
      <c r="AN49" s="259"/>
      <c r="AO49" s="259"/>
      <c r="AP49" s="259"/>
      <c r="AQ49" s="259"/>
      <c r="AR49" s="259"/>
      <c r="AS49" s="259"/>
      <c r="AT49" s="259"/>
      <c r="AU49" s="259"/>
      <c r="AV49" s="259"/>
      <c r="AW49" s="259"/>
      <c r="AX49" s="259"/>
      <c r="AY49" s="259"/>
      <c r="AZ49" s="259"/>
      <c r="BA49" s="259"/>
      <c r="BB49" s="259"/>
      <c r="BC49" s="259"/>
      <c r="BD49" s="259"/>
      <c r="BE49" s="259"/>
      <c r="BF49" s="259"/>
      <c r="BG49" s="259"/>
      <c r="BH49" s="259"/>
      <c r="BI49" s="259"/>
      <c r="BJ49" s="259"/>
      <c r="BK49" s="259"/>
      <c r="BL49" s="259"/>
      <c r="BM49" s="259"/>
      <c r="BN49" s="259"/>
      <c r="BO49" s="259"/>
      <c r="BP49" s="259"/>
      <c r="BQ49" s="259"/>
      <c r="BR49" s="259"/>
      <c r="BS49" s="259"/>
      <c r="BT49" s="259"/>
      <c r="BU49" s="259"/>
      <c r="BV49" s="259"/>
      <c r="BW49" s="259"/>
      <c r="BX49" s="265"/>
      <c r="BY49" s="266">
        <f t="shared" ref="BY49:BY53" si="32">SUM(E49:BX49)</f>
        <v>-133869.03677273751</v>
      </c>
      <c r="BZ49" s="564"/>
      <c r="CA49" s="229"/>
      <c r="CB49" s="229"/>
      <c r="CC49" s="229"/>
      <c r="CD49" s="256" t="e">
        <f t="shared" ref="CD49:CD53" ca="1" si="33">SUM(INDEX(AC49:BX49, , 1):INDEX(AC49:BX49, ,MATCH(CD5, E4:BX4,0) ))</f>
        <v>#N/A</v>
      </c>
      <c r="CE49" s="564"/>
    </row>
    <row r="50" spans="2:83" ht="15.95" outlineLevel="1">
      <c r="B50" s="569"/>
      <c r="C50" s="257" t="s">
        <v>228</v>
      </c>
      <c r="D50" s="258" t="s">
        <v>191</v>
      </c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59"/>
      <c r="AQ50" s="259"/>
      <c r="AR50" s="259"/>
      <c r="AS50" s="259"/>
      <c r="AT50" s="259"/>
      <c r="AU50" s="259"/>
      <c r="AV50" s="259"/>
      <c r="AW50" s="259"/>
      <c r="AX50" s="259"/>
      <c r="AY50" s="259"/>
      <c r="AZ50" s="259"/>
      <c r="BA50" s="259"/>
      <c r="BB50" s="259"/>
      <c r="BC50" s="259"/>
      <c r="BD50" s="259"/>
      <c r="BE50" s="259"/>
      <c r="BF50" s="259"/>
      <c r="BG50" s="259"/>
      <c r="BH50" s="259"/>
      <c r="BI50" s="259"/>
      <c r="BJ50" s="259"/>
      <c r="BK50" s="259"/>
      <c r="BL50" s="259"/>
      <c r="BM50" s="259"/>
      <c r="BN50" s="259"/>
      <c r="BO50" s="259"/>
      <c r="BP50" s="259"/>
      <c r="BQ50" s="259"/>
      <c r="BR50" s="259"/>
      <c r="BS50" s="259"/>
      <c r="BT50" s="259"/>
      <c r="BU50" s="259"/>
      <c r="BV50" s="259"/>
      <c r="BW50" s="259"/>
      <c r="BX50" s="265"/>
      <c r="BY50" s="266">
        <f t="shared" si="32"/>
        <v>0</v>
      </c>
      <c r="BZ50" s="564"/>
      <c r="CA50" s="229"/>
      <c r="CB50" s="229"/>
      <c r="CC50" s="229"/>
      <c r="CD50" s="256" t="e">
        <f t="shared" ca="1" si="33"/>
        <v>#N/A</v>
      </c>
      <c r="CE50" s="564"/>
    </row>
    <row r="51" spans="2:83" ht="15.95" outlineLevel="1">
      <c r="B51" s="569"/>
      <c r="C51" s="257" t="s">
        <v>229</v>
      </c>
      <c r="D51" s="258" t="s">
        <v>191</v>
      </c>
      <c r="E51" s="259"/>
      <c r="F51" s="259"/>
      <c r="G51" s="259"/>
      <c r="H51" s="259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9"/>
      <c r="AL51" s="259"/>
      <c r="AM51" s="259"/>
      <c r="AN51" s="259"/>
      <c r="AO51" s="259"/>
      <c r="AP51" s="259"/>
      <c r="AQ51" s="259"/>
      <c r="AR51" s="259"/>
      <c r="AS51" s="259"/>
      <c r="AT51" s="259"/>
      <c r="AU51" s="259"/>
      <c r="AV51" s="259"/>
      <c r="AW51" s="259"/>
      <c r="AX51" s="259"/>
      <c r="AY51" s="259"/>
      <c r="AZ51" s="259"/>
      <c r="BA51" s="259"/>
      <c r="BB51" s="259"/>
      <c r="BC51" s="259"/>
      <c r="BD51" s="259"/>
      <c r="BE51" s="259"/>
      <c r="BF51" s="259"/>
      <c r="BG51" s="259"/>
      <c r="BH51" s="259"/>
      <c r="BI51" s="259"/>
      <c r="BJ51" s="259"/>
      <c r="BK51" s="259"/>
      <c r="BL51" s="259"/>
      <c r="BM51" s="259"/>
      <c r="BN51" s="259"/>
      <c r="BO51" s="259"/>
      <c r="BP51" s="259"/>
      <c r="BQ51" s="259"/>
      <c r="BR51" s="259"/>
      <c r="BS51" s="259"/>
      <c r="BT51" s="259"/>
      <c r="BU51" s="259"/>
      <c r="BV51" s="259"/>
      <c r="BW51" s="259"/>
      <c r="BX51" s="265"/>
      <c r="BY51" s="266">
        <f t="shared" si="32"/>
        <v>0</v>
      </c>
      <c r="BZ51" s="564"/>
      <c r="CA51" s="229"/>
      <c r="CB51" s="229"/>
      <c r="CC51" s="229"/>
      <c r="CD51" s="256">
        <f t="shared" ca="1" si="33"/>
        <v>0</v>
      </c>
      <c r="CE51" s="564"/>
    </row>
    <row r="52" spans="2:83" ht="15.95" outlineLevel="1">
      <c r="B52" s="569"/>
      <c r="C52" s="257" t="s">
        <v>230</v>
      </c>
      <c r="D52" s="258" t="s">
        <v>191</v>
      </c>
      <c r="E52" s="259"/>
      <c r="F52" s="259"/>
      <c r="G52" s="259"/>
      <c r="H52" s="259"/>
      <c r="I52" s="259"/>
      <c r="J52" s="259"/>
      <c r="K52" s="259">
        <f>-400-200</f>
        <v>-600</v>
      </c>
      <c r="L52" s="259">
        <f>-50-2.1-3-400-12-6-20-200-6</f>
        <v>-699.1</v>
      </c>
      <c r="M52" s="259">
        <f>-400-2-5-200-0.44</f>
        <v>-607.44000000000005</v>
      </c>
      <c r="N52" s="259">
        <f>-3-400-2-5-200-3-8</f>
        <v>-621</v>
      </c>
      <c r="O52" s="259">
        <f>-300-6-4-400-12-10-200-3</f>
        <v>-935</v>
      </c>
      <c r="P52" s="259">
        <f>-300-400-2-5-200-8-6</f>
        <v>-921</v>
      </c>
      <c r="Q52" s="259">
        <f>-300-20-15-400-200</f>
        <v>-935</v>
      </c>
      <c r="R52" s="259">
        <f>-400-12-200-16</f>
        <v>-628</v>
      </c>
      <c r="S52" s="259">
        <f>-Businessplan_prodej!$E$79</f>
        <v>-1000</v>
      </c>
      <c r="T52" s="259">
        <f>-Businessplan_prodej!$E$79</f>
        <v>-1000</v>
      </c>
      <c r="U52" s="259">
        <f>-Businessplan_prodej!$E$79</f>
        <v>-1000</v>
      </c>
      <c r="V52" s="259">
        <f>-Businessplan_prodej!$E$79</f>
        <v>-1000</v>
      </c>
      <c r="W52" s="259">
        <f>-Businessplan_prodej!$E$79</f>
        <v>-1000</v>
      </c>
      <c r="X52" s="259">
        <f>-Businessplan_prodej!$E$79</f>
        <v>-1000</v>
      </c>
      <c r="Y52" s="259">
        <f>-Businessplan_prodej!$E$79</f>
        <v>-1000</v>
      </c>
      <c r="Z52" s="259">
        <f>-Businessplan_prodej!$E$79</f>
        <v>-1000</v>
      </c>
      <c r="AA52" s="259">
        <f>-Businessplan_prodej!$E$79</f>
        <v>-1000</v>
      </c>
      <c r="AB52" s="259">
        <f>-Businessplan_prodej!$E$79</f>
        <v>-1000</v>
      </c>
      <c r="AC52" s="259">
        <f>-Businessplan_prodej!$E$79</f>
        <v>-1000</v>
      </c>
      <c r="AD52" s="259">
        <f>-Businessplan_prodej!$E$79</f>
        <v>-1000</v>
      </c>
      <c r="AE52" s="259">
        <f>-Businessplan_prodej!$E$79</f>
        <v>-1000</v>
      </c>
      <c r="AF52" s="259">
        <f>-Businessplan_prodej!$E$79</f>
        <v>-1000</v>
      </c>
      <c r="AG52" s="259">
        <f>-Businessplan_prodej!$E$79</f>
        <v>-1000</v>
      </c>
      <c r="AH52" s="259">
        <f>-Businessplan_prodej!$E$79</f>
        <v>-1000</v>
      </c>
      <c r="AI52" s="259">
        <f>-Businessplan_prodej!$E$79</f>
        <v>-1000</v>
      </c>
      <c r="AJ52" s="259">
        <f>-Businessplan_prodej!$E$79</f>
        <v>-1000</v>
      </c>
      <c r="AK52" s="259">
        <f>-Businessplan_prodej!$E$79</f>
        <v>-1000</v>
      </c>
      <c r="AL52" s="259">
        <f>-Businessplan_prodej!$E$79</f>
        <v>-1000</v>
      </c>
      <c r="AM52" s="259">
        <f>-Businessplan_prodej!$E$79</f>
        <v>-1000</v>
      </c>
      <c r="AN52" s="259">
        <f>-Businessplan_prodej!$E$79</f>
        <v>-1000</v>
      </c>
      <c r="AO52" s="259">
        <f>-Businessplan_prodej!$E$79</f>
        <v>-1000</v>
      </c>
      <c r="AP52" s="259"/>
      <c r="AQ52" s="259"/>
      <c r="AR52" s="259"/>
      <c r="AS52" s="259"/>
      <c r="AT52" s="259"/>
      <c r="AU52" s="259"/>
      <c r="AV52" s="259"/>
      <c r="AW52" s="259"/>
      <c r="AX52" s="259"/>
      <c r="AY52" s="259"/>
      <c r="AZ52" s="259"/>
      <c r="BA52" s="259"/>
      <c r="BB52" s="259"/>
      <c r="BC52" s="259"/>
      <c r="BD52" s="259"/>
      <c r="BE52" s="259"/>
      <c r="BF52" s="259"/>
      <c r="BG52" s="259"/>
      <c r="BH52" s="259"/>
      <c r="BI52" s="259"/>
      <c r="BJ52" s="259"/>
      <c r="BK52" s="259"/>
      <c r="BL52" s="259"/>
      <c r="BM52" s="259"/>
      <c r="BN52" s="259"/>
      <c r="BO52" s="259"/>
      <c r="BP52" s="259"/>
      <c r="BQ52" s="259"/>
      <c r="BR52" s="259"/>
      <c r="BS52" s="259"/>
      <c r="BT52" s="259"/>
      <c r="BU52" s="259"/>
      <c r="BV52" s="259"/>
      <c r="BW52" s="259"/>
      <c r="BX52" s="265"/>
      <c r="BY52" s="267">
        <f t="shared" si="32"/>
        <v>-28946.54</v>
      </c>
      <c r="BZ52" s="564"/>
      <c r="CA52" s="229"/>
      <c r="CB52" s="229"/>
      <c r="CC52" s="229"/>
      <c r="CD52" s="256" t="e">
        <f t="shared" ca="1" si="33"/>
        <v>#N/A</v>
      </c>
      <c r="CE52" s="564"/>
    </row>
    <row r="53" spans="2:83" ht="15.95" outlineLevel="1">
      <c r="B53" s="569"/>
      <c r="C53" s="257" t="s">
        <v>231</v>
      </c>
      <c r="D53" s="261" t="s">
        <v>191</v>
      </c>
      <c r="E53" s="262"/>
      <c r="F53" s="262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  <c r="AA53" s="259"/>
      <c r="AB53" s="259"/>
      <c r="AC53" s="259"/>
      <c r="AD53" s="259"/>
      <c r="AE53" s="259"/>
      <c r="AF53" s="259"/>
      <c r="AG53" s="259"/>
      <c r="AH53" s="259"/>
      <c r="AI53" s="259"/>
      <c r="AJ53" s="259"/>
      <c r="AK53" s="259"/>
      <c r="AL53" s="259"/>
      <c r="AM53" s="259"/>
      <c r="AN53" s="259"/>
      <c r="AO53" s="259"/>
      <c r="AP53" s="259"/>
      <c r="AQ53" s="259"/>
      <c r="AR53" s="259"/>
      <c r="AS53" s="259"/>
      <c r="AT53" s="259"/>
      <c r="AU53" s="259"/>
      <c r="AV53" s="259"/>
      <c r="AW53" s="259"/>
      <c r="AX53" s="259"/>
      <c r="AY53" s="259"/>
      <c r="AZ53" s="259"/>
      <c r="BA53" s="259"/>
      <c r="BB53" s="259"/>
      <c r="BC53" s="259"/>
      <c r="BD53" s="259"/>
      <c r="BE53" s="259"/>
      <c r="BF53" s="259"/>
      <c r="BG53" s="259"/>
      <c r="BH53" s="259"/>
      <c r="BI53" s="259"/>
      <c r="BJ53" s="259"/>
      <c r="BK53" s="259"/>
      <c r="BL53" s="259"/>
      <c r="BM53" s="259"/>
      <c r="BN53" s="259"/>
      <c r="BO53" s="259"/>
      <c r="BP53" s="259"/>
      <c r="BQ53" s="259"/>
      <c r="BR53" s="259"/>
      <c r="BS53" s="259"/>
      <c r="BT53" s="259"/>
      <c r="BU53" s="259"/>
      <c r="BV53" s="259"/>
      <c r="BW53" s="259"/>
      <c r="BX53" s="265"/>
      <c r="BY53" s="269">
        <f t="shared" si="32"/>
        <v>0</v>
      </c>
      <c r="BZ53" s="564"/>
      <c r="CA53" s="229"/>
      <c r="CB53" s="229"/>
      <c r="CC53" s="229"/>
      <c r="CD53" s="256" t="e">
        <f t="shared" ca="1" si="33"/>
        <v>#N/A</v>
      </c>
      <c r="CE53" s="564"/>
    </row>
    <row r="54" spans="2:83" ht="15.95" collapsed="1">
      <c r="B54" s="569"/>
      <c r="C54" s="252" t="s">
        <v>232</v>
      </c>
      <c r="D54" s="253"/>
      <c r="E54" s="254">
        <f t="shared" ref="E54:BX54" si="34">SUM(E55:E61)</f>
        <v>0</v>
      </c>
      <c r="F54" s="254">
        <f t="shared" si="34"/>
        <v>0</v>
      </c>
      <c r="G54" s="254">
        <f t="shared" si="34"/>
        <v>0</v>
      </c>
      <c r="H54" s="254">
        <f t="shared" si="34"/>
        <v>0</v>
      </c>
      <c r="I54" s="254">
        <f t="shared" si="34"/>
        <v>0</v>
      </c>
      <c r="J54" s="254">
        <f t="shared" si="34"/>
        <v>0</v>
      </c>
      <c r="K54" s="254">
        <f t="shared" si="34"/>
        <v>0</v>
      </c>
      <c r="L54" s="254">
        <f t="shared" si="34"/>
        <v>0</v>
      </c>
      <c r="M54" s="254">
        <f t="shared" si="34"/>
        <v>0</v>
      </c>
      <c r="N54" s="254">
        <f t="shared" si="34"/>
        <v>0</v>
      </c>
      <c r="O54" s="254">
        <f t="shared" si="34"/>
        <v>0</v>
      </c>
      <c r="P54" s="254">
        <f t="shared" si="34"/>
        <v>0</v>
      </c>
      <c r="Q54" s="254">
        <f t="shared" si="34"/>
        <v>-113313</v>
      </c>
      <c r="R54" s="254">
        <f t="shared" si="34"/>
        <v>0</v>
      </c>
      <c r="S54" s="254">
        <f t="shared" si="34"/>
        <v>0</v>
      </c>
      <c r="T54" s="254">
        <f t="shared" si="34"/>
        <v>0</v>
      </c>
      <c r="U54" s="254">
        <f t="shared" si="34"/>
        <v>0</v>
      </c>
      <c r="V54" s="254">
        <f t="shared" si="34"/>
        <v>0</v>
      </c>
      <c r="W54" s="254">
        <f t="shared" si="34"/>
        <v>0</v>
      </c>
      <c r="X54" s="254">
        <f t="shared" si="34"/>
        <v>0</v>
      </c>
      <c r="Y54" s="254">
        <f t="shared" si="34"/>
        <v>0</v>
      </c>
      <c r="Z54" s="254">
        <f t="shared" si="34"/>
        <v>0</v>
      </c>
      <c r="AA54" s="254">
        <f t="shared" si="34"/>
        <v>0</v>
      </c>
      <c r="AB54" s="254">
        <f t="shared" si="34"/>
        <v>0</v>
      </c>
      <c r="AC54" s="254">
        <f t="shared" si="34"/>
        <v>0</v>
      </c>
      <c r="AD54" s="254">
        <f t="shared" si="34"/>
        <v>0</v>
      </c>
      <c r="AE54" s="254">
        <f t="shared" si="34"/>
        <v>0</v>
      </c>
      <c r="AF54" s="254">
        <f t="shared" si="34"/>
        <v>0</v>
      </c>
      <c r="AG54" s="254">
        <f t="shared" si="34"/>
        <v>0</v>
      </c>
      <c r="AH54" s="254">
        <f t="shared" si="34"/>
        <v>0</v>
      </c>
      <c r="AI54" s="254">
        <f t="shared" si="34"/>
        <v>-40000</v>
      </c>
      <c r="AJ54" s="254">
        <f t="shared" si="34"/>
        <v>-114666.66666666667</v>
      </c>
      <c r="AK54" s="254">
        <f t="shared" si="34"/>
        <v>-189333.33333333334</v>
      </c>
      <c r="AL54" s="254">
        <f t="shared" si="34"/>
        <v>-264000</v>
      </c>
      <c r="AM54" s="254">
        <f t="shared" si="34"/>
        <v>-338666.66666666669</v>
      </c>
      <c r="AN54" s="254">
        <f t="shared" si="34"/>
        <v>-414666.66666666669</v>
      </c>
      <c r="AO54" s="254">
        <f t="shared" si="34"/>
        <v>-4841784.1966666682</v>
      </c>
      <c r="AP54" s="254">
        <f t="shared" si="34"/>
        <v>0</v>
      </c>
      <c r="AQ54" s="254">
        <f t="shared" si="34"/>
        <v>0</v>
      </c>
      <c r="AR54" s="254">
        <f t="shared" si="34"/>
        <v>0</v>
      </c>
      <c r="AS54" s="254">
        <f t="shared" si="34"/>
        <v>0</v>
      </c>
      <c r="AT54" s="254">
        <f t="shared" si="34"/>
        <v>0</v>
      </c>
      <c r="AU54" s="254">
        <f t="shared" si="34"/>
        <v>0</v>
      </c>
      <c r="AV54" s="254">
        <f t="shared" si="34"/>
        <v>0</v>
      </c>
      <c r="AW54" s="254">
        <f t="shared" si="34"/>
        <v>0</v>
      </c>
      <c r="AX54" s="254">
        <f t="shared" si="34"/>
        <v>0</v>
      </c>
      <c r="AY54" s="254">
        <f t="shared" si="34"/>
        <v>0</v>
      </c>
      <c r="AZ54" s="254">
        <f t="shared" si="34"/>
        <v>0</v>
      </c>
      <c r="BA54" s="254">
        <f t="shared" si="34"/>
        <v>0</v>
      </c>
      <c r="BB54" s="254">
        <f t="shared" si="34"/>
        <v>0</v>
      </c>
      <c r="BC54" s="254">
        <f t="shared" si="34"/>
        <v>0</v>
      </c>
      <c r="BD54" s="254">
        <f t="shared" si="34"/>
        <v>0</v>
      </c>
      <c r="BE54" s="254">
        <f t="shared" si="34"/>
        <v>0</v>
      </c>
      <c r="BF54" s="254">
        <f t="shared" si="34"/>
        <v>0</v>
      </c>
      <c r="BG54" s="254">
        <f t="shared" si="34"/>
        <v>0</v>
      </c>
      <c r="BH54" s="254">
        <f t="shared" si="34"/>
        <v>0</v>
      </c>
      <c r="BI54" s="254">
        <f t="shared" si="34"/>
        <v>0</v>
      </c>
      <c r="BJ54" s="254">
        <f t="shared" si="34"/>
        <v>0</v>
      </c>
      <c r="BK54" s="254">
        <f t="shared" si="34"/>
        <v>0</v>
      </c>
      <c r="BL54" s="254">
        <f t="shared" si="34"/>
        <v>0</v>
      </c>
      <c r="BM54" s="254">
        <f t="shared" si="34"/>
        <v>0</v>
      </c>
      <c r="BN54" s="254">
        <f t="shared" si="34"/>
        <v>0</v>
      </c>
      <c r="BO54" s="254">
        <f t="shared" si="34"/>
        <v>0</v>
      </c>
      <c r="BP54" s="254">
        <f t="shared" si="34"/>
        <v>0</v>
      </c>
      <c r="BQ54" s="254">
        <f t="shared" si="34"/>
        <v>0</v>
      </c>
      <c r="BR54" s="254">
        <f t="shared" si="34"/>
        <v>0</v>
      </c>
      <c r="BS54" s="254">
        <f t="shared" si="34"/>
        <v>0</v>
      </c>
      <c r="BT54" s="254">
        <f t="shared" si="34"/>
        <v>0</v>
      </c>
      <c r="BU54" s="254">
        <f t="shared" si="34"/>
        <v>0</v>
      </c>
      <c r="BV54" s="254">
        <f t="shared" si="34"/>
        <v>0</v>
      </c>
      <c r="BW54" s="254">
        <f t="shared" si="34"/>
        <v>0</v>
      </c>
      <c r="BX54" s="254">
        <f t="shared" si="34"/>
        <v>0</v>
      </c>
      <c r="BY54" s="256">
        <f>SUM(BY55:BY61)</f>
        <v>-6316430.5300000012</v>
      </c>
      <c r="BZ54" s="564"/>
      <c r="CA54" s="229"/>
      <c r="CB54" s="229">
        <f>SUM(E74:AN75)</f>
        <v>-21918824</v>
      </c>
      <c r="CC54" s="229">
        <f>-20500000</f>
        <v>-20500000</v>
      </c>
      <c r="CD54" s="256" t="e">
        <f t="array" aca="1" ref="CD54" ca="1">SUM(INDEX(E54:BX54, , 1):INDEX(E54:BX54, ,MATCH($CD$4, $E$3:$BX$3,0) ))</f>
        <v>#N/A</v>
      </c>
      <c r="CE54" s="564"/>
    </row>
    <row r="55" spans="2:83" ht="15.95" hidden="1" outlineLevel="1">
      <c r="B55" s="569"/>
      <c r="C55" s="257" t="s">
        <v>233</v>
      </c>
      <c r="D55" s="274">
        <v>0.11</v>
      </c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>
        <f>-113313</f>
        <v>-113313</v>
      </c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9"/>
      <c r="AL55" s="259"/>
      <c r="AM55" s="259"/>
      <c r="AN55" s="259"/>
      <c r="AO55" s="348">
        <f>-SUM(' Interest Calc'!E12:E43)-' Interest Calc'!E43</f>
        <v>-860897.51000000024</v>
      </c>
      <c r="AP55" s="259"/>
      <c r="AQ55" s="259"/>
      <c r="AR55" s="259"/>
      <c r="AS55" s="259"/>
      <c r="AT55" s="259"/>
      <c r="AU55" s="259"/>
      <c r="AV55" s="259"/>
      <c r="AW55" s="259"/>
      <c r="AX55" s="259"/>
      <c r="AY55" s="259"/>
      <c r="AZ55" s="259"/>
      <c r="BA55" s="259"/>
      <c r="BB55" s="259"/>
      <c r="BC55" s="259"/>
      <c r="BD55" s="259"/>
      <c r="BE55" s="259"/>
      <c r="BF55" s="259"/>
      <c r="BG55" s="259"/>
      <c r="BH55" s="259"/>
      <c r="BI55" s="259"/>
      <c r="BJ55" s="259"/>
      <c r="BK55" s="259"/>
      <c r="BL55" s="259"/>
      <c r="BM55" s="265"/>
      <c r="BN55" s="265"/>
      <c r="BO55" s="265"/>
      <c r="BP55" s="265"/>
      <c r="BQ55" s="265"/>
      <c r="BR55" s="265"/>
      <c r="BS55" s="265"/>
      <c r="BT55" s="265"/>
      <c r="BU55" s="265"/>
      <c r="BV55" s="265"/>
      <c r="BW55" s="265"/>
      <c r="BX55" s="265"/>
      <c r="BY55" s="275">
        <f t="shared" ref="BY55:BY61" si="35">SUM(E55:BX55)</f>
        <v>-974210.51000000024</v>
      </c>
      <c r="BZ55" s="564"/>
      <c r="CA55" s="229"/>
      <c r="CB55" s="229"/>
      <c r="CC55" s="229"/>
      <c r="CD55" s="256" t="e">
        <f t="shared" ref="CD55:CD58" ca="1" si="36">SUM(INDEX(AC55:BX55, , 1):INDEX(AC55:BX55, ,MATCH(CD11, E10:BX10,0) ))</f>
        <v>#N/A</v>
      </c>
      <c r="CE55" s="564"/>
    </row>
    <row r="56" spans="2:83" ht="15.95" hidden="1" outlineLevel="1">
      <c r="B56" s="569"/>
      <c r="C56" s="257" t="s">
        <v>234</v>
      </c>
      <c r="D56" s="274">
        <v>0.11</v>
      </c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59"/>
      <c r="AH56" s="259"/>
      <c r="AI56" s="259"/>
      <c r="AJ56" s="259"/>
      <c r="AK56" s="259"/>
      <c r="AL56" s="259"/>
      <c r="AM56" s="259"/>
      <c r="AN56" s="259"/>
      <c r="AO56" s="348">
        <f>-SUM(' Interest Calc'!J19:J43)-' Interest Calc'!J43</f>
        <v>-3566220.0200000014</v>
      </c>
      <c r="AP56" s="259"/>
      <c r="AQ56" s="259"/>
      <c r="AR56" s="259"/>
      <c r="AS56" s="259"/>
      <c r="AT56" s="259"/>
      <c r="AU56" s="259"/>
      <c r="AV56" s="259"/>
      <c r="AW56" s="259"/>
      <c r="AX56" s="259"/>
      <c r="AY56" s="259"/>
      <c r="AZ56" s="259"/>
      <c r="BA56" s="259"/>
      <c r="BB56" s="259"/>
      <c r="BC56" s="259"/>
      <c r="BD56" s="259"/>
      <c r="BE56" s="259"/>
      <c r="BF56" s="259"/>
      <c r="BG56" s="259"/>
      <c r="BH56" s="259"/>
      <c r="BI56" s="259"/>
      <c r="BJ56" s="259"/>
      <c r="BK56" s="259"/>
      <c r="BL56" s="259"/>
      <c r="BM56" s="265"/>
      <c r="BN56" s="265"/>
      <c r="BO56" s="265"/>
      <c r="BP56" s="265"/>
      <c r="BQ56" s="265"/>
      <c r="BR56" s="265"/>
      <c r="BS56" s="265"/>
      <c r="BT56" s="265"/>
      <c r="BU56" s="265"/>
      <c r="BV56" s="265"/>
      <c r="BW56" s="265"/>
      <c r="BX56" s="265"/>
      <c r="BY56" s="276">
        <f t="shared" si="35"/>
        <v>-3566220.0200000014</v>
      </c>
      <c r="BZ56" s="564"/>
      <c r="CA56" s="229"/>
      <c r="CB56" s="229"/>
      <c r="CC56" s="229"/>
      <c r="CD56" s="256" t="e">
        <f t="shared" ca="1" si="36"/>
        <v>#N/A</v>
      </c>
      <c r="CE56" s="564"/>
    </row>
    <row r="57" spans="2:83" ht="15.95" hidden="1" outlineLevel="1">
      <c r="B57" s="569"/>
      <c r="C57" s="257" t="s">
        <v>235</v>
      </c>
      <c r="D57" s="274">
        <v>0.105</v>
      </c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/>
      <c r="AJ57" s="259"/>
      <c r="AK57" s="259"/>
      <c r="AL57" s="259"/>
      <c r="AM57" s="259"/>
      <c r="AN57" s="259"/>
      <c r="AO57" s="348"/>
      <c r="AP57" s="259"/>
      <c r="AQ57" s="259"/>
      <c r="AR57" s="259"/>
      <c r="AS57" s="259"/>
      <c r="AT57" s="259"/>
      <c r="AU57" s="259"/>
      <c r="AV57" s="259"/>
      <c r="AW57" s="259"/>
      <c r="AX57" s="259"/>
      <c r="AY57" s="259"/>
      <c r="AZ57" s="259"/>
      <c r="BA57" s="259"/>
      <c r="BB57" s="259"/>
      <c r="BC57" s="259"/>
      <c r="BD57" s="259"/>
      <c r="BE57" s="259"/>
      <c r="BF57" s="259"/>
      <c r="BG57" s="259"/>
      <c r="BH57" s="259"/>
      <c r="BI57" s="259"/>
      <c r="BJ57" s="259"/>
      <c r="BK57" s="259"/>
      <c r="BL57" s="259"/>
      <c r="BM57" s="265"/>
      <c r="BN57" s="265"/>
      <c r="BO57" s="265"/>
      <c r="BP57" s="265"/>
      <c r="BQ57" s="265"/>
      <c r="BR57" s="265"/>
      <c r="BS57" s="265"/>
      <c r="BT57" s="265"/>
      <c r="BU57" s="265"/>
      <c r="BV57" s="265"/>
      <c r="BW57" s="265"/>
      <c r="BX57" s="265"/>
      <c r="BY57" s="276">
        <f t="shared" si="35"/>
        <v>0</v>
      </c>
      <c r="BZ57" s="564"/>
      <c r="CA57" s="229"/>
      <c r="CB57" s="229"/>
      <c r="CC57" s="229"/>
      <c r="CD57" s="256" t="e">
        <f t="shared" ca="1" si="36"/>
        <v>#N/A</v>
      </c>
      <c r="CE57" s="564"/>
    </row>
    <row r="58" spans="2:83" ht="15.95" hidden="1" outlineLevel="1">
      <c r="B58" s="569"/>
      <c r="C58" s="257" t="s">
        <v>236</v>
      </c>
      <c r="D58" s="274">
        <v>0.105</v>
      </c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59"/>
      <c r="AN58" s="259"/>
      <c r="AO58" s="259"/>
      <c r="AP58" s="259"/>
      <c r="AQ58" s="259"/>
      <c r="AR58" s="259"/>
      <c r="AS58" s="259"/>
      <c r="AT58" s="259"/>
      <c r="AU58" s="259"/>
      <c r="AV58" s="259"/>
      <c r="AW58" s="259"/>
      <c r="AX58" s="259"/>
      <c r="AY58" s="259"/>
      <c r="AZ58" s="259"/>
      <c r="BA58" s="259"/>
      <c r="BB58" s="259"/>
      <c r="BC58" s="259"/>
      <c r="BD58" s="259"/>
      <c r="BE58" s="259"/>
      <c r="BF58" s="259"/>
      <c r="BG58" s="259"/>
      <c r="BH58" s="259"/>
      <c r="BI58" s="259"/>
      <c r="BJ58" s="259"/>
      <c r="BK58" s="259"/>
      <c r="BL58" s="259"/>
      <c r="BM58" s="265"/>
      <c r="BN58" s="265"/>
      <c r="BO58" s="265"/>
      <c r="BP58" s="265"/>
      <c r="BQ58" s="265"/>
      <c r="BR58" s="265"/>
      <c r="BS58" s="265"/>
      <c r="BT58" s="265"/>
      <c r="BU58" s="265"/>
      <c r="BV58" s="265"/>
      <c r="BW58" s="265"/>
      <c r="BX58" s="265"/>
      <c r="BY58" s="276">
        <f t="shared" si="35"/>
        <v>0</v>
      </c>
      <c r="BZ58" s="564"/>
      <c r="CA58" s="229"/>
      <c r="CB58" s="229"/>
      <c r="CC58" s="229"/>
      <c r="CD58" s="256" t="e">
        <f t="shared" ca="1" si="36"/>
        <v>#N/A</v>
      </c>
      <c r="CE58" s="564"/>
    </row>
    <row r="59" spans="2:83" ht="15.95" hidden="1" outlineLevel="1">
      <c r="B59" s="569"/>
      <c r="C59" s="257" t="s">
        <v>237</v>
      </c>
      <c r="D59" s="274">
        <v>0.15</v>
      </c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65"/>
      <c r="BN59" s="265"/>
      <c r="BO59" s="265"/>
      <c r="BP59" s="265"/>
      <c r="BQ59" s="265"/>
      <c r="BR59" s="265"/>
      <c r="BS59" s="265"/>
      <c r="BT59" s="265"/>
      <c r="BU59" s="265"/>
      <c r="BV59" s="265"/>
      <c r="BW59" s="265"/>
      <c r="BX59" s="265"/>
      <c r="BY59" s="277">
        <f t="shared" si="35"/>
        <v>0</v>
      </c>
      <c r="BZ59" s="564"/>
      <c r="CA59" s="229"/>
      <c r="CB59" s="229"/>
      <c r="CC59" s="229"/>
      <c r="CD59" s="256" t="e">
        <f t="array" aca="1" ref="CD59" ca="1">SUM(INDEX(AC59:BX59, , 1):INDEX(AC59:BX59, ,MATCH(CD16, E14:BX14,0) ))</f>
        <v>#N/A</v>
      </c>
      <c r="CE59" s="564"/>
    </row>
    <row r="60" spans="2:83" ht="15.95" hidden="1" outlineLevel="1">
      <c r="B60" s="569"/>
      <c r="C60" s="257" t="s">
        <v>238</v>
      </c>
      <c r="D60" s="278">
        <f>25%/12</f>
        <v>2.0833333333333332E-2</v>
      </c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62"/>
      <c r="AK60" s="262"/>
      <c r="AL60" s="262"/>
      <c r="AM60" s="262"/>
      <c r="AN60" s="262"/>
      <c r="AO60" s="262"/>
      <c r="AP60" s="262"/>
      <c r="AQ60" s="262"/>
      <c r="AR60" s="262"/>
      <c r="AS60" s="262"/>
      <c r="AT60" s="262"/>
      <c r="AU60" s="262"/>
      <c r="AV60" s="262"/>
      <c r="AW60" s="262"/>
      <c r="AX60" s="262"/>
      <c r="AY60" s="262"/>
      <c r="AZ60" s="262"/>
      <c r="BA60" s="262"/>
      <c r="BB60" s="262"/>
      <c r="BC60" s="262"/>
      <c r="BD60" s="262"/>
      <c r="BE60" s="262"/>
      <c r="BF60" s="262"/>
      <c r="BG60" s="262"/>
      <c r="BH60" s="262"/>
      <c r="BI60" s="262"/>
      <c r="BJ60" s="262"/>
      <c r="BK60" s="262"/>
      <c r="BL60" s="259"/>
      <c r="BM60" s="265"/>
      <c r="BN60" s="265"/>
      <c r="BO60" s="265"/>
      <c r="BP60" s="265"/>
      <c r="BQ60" s="265"/>
      <c r="BR60" s="265"/>
      <c r="BS60" s="265"/>
      <c r="BT60" s="265"/>
      <c r="BU60" s="265"/>
      <c r="BV60" s="265"/>
      <c r="BW60" s="265"/>
      <c r="BX60" s="265"/>
      <c r="BY60" s="277">
        <f t="shared" si="35"/>
        <v>0</v>
      </c>
      <c r="BZ60" s="564"/>
      <c r="CA60" s="229"/>
      <c r="CB60" s="229"/>
      <c r="CC60" s="229"/>
      <c r="CD60" s="256" t="e">
        <f t="shared" ref="CD60:CD61" ca="1" si="37">SUM(INDEX(AC60:BX60, , 1):INDEX(AC60:BX60, ,MATCH(CD17, E16:BX16,0) ))</f>
        <v>#N/A</v>
      </c>
      <c r="CE60" s="564"/>
    </row>
    <row r="61" spans="2:83" ht="15.95" hidden="1" outlineLevel="1">
      <c r="B61" s="569"/>
      <c r="C61" s="279" t="s">
        <v>239</v>
      </c>
      <c r="D61" s="280">
        <v>0.08</v>
      </c>
      <c r="E61" s="281"/>
      <c r="F61" s="281"/>
      <c r="G61" s="281"/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1"/>
      <c r="AI61" s="281">
        <f>-AI11*D61/12</f>
        <v>-40000</v>
      </c>
      <c r="AJ61" s="281">
        <f t="shared" ref="AJ61:AO61" si="38">-SUM($AI$11:AJ11)*$D$61/12</f>
        <v>-114666.66666666667</v>
      </c>
      <c r="AK61" s="281">
        <f t="shared" si="38"/>
        <v>-189333.33333333334</v>
      </c>
      <c r="AL61" s="281">
        <f t="shared" si="38"/>
        <v>-264000</v>
      </c>
      <c r="AM61" s="281">
        <f t="shared" si="38"/>
        <v>-338666.66666666669</v>
      </c>
      <c r="AN61" s="281">
        <f t="shared" si="38"/>
        <v>-414666.66666666669</v>
      </c>
      <c r="AO61" s="281">
        <f t="shared" si="38"/>
        <v>-414666.66666666669</v>
      </c>
      <c r="AP61" s="281"/>
      <c r="AQ61" s="281"/>
      <c r="AR61" s="281"/>
      <c r="AS61" s="281"/>
      <c r="AT61" s="281"/>
      <c r="AU61" s="281"/>
      <c r="AV61" s="281"/>
      <c r="AW61" s="281"/>
      <c r="AX61" s="281"/>
      <c r="AY61" s="281"/>
      <c r="AZ61" s="281"/>
      <c r="BA61" s="281"/>
      <c r="BB61" s="281"/>
      <c r="BC61" s="281"/>
      <c r="BD61" s="281"/>
      <c r="BE61" s="281"/>
      <c r="BF61" s="281"/>
      <c r="BG61" s="281"/>
      <c r="BH61" s="281"/>
      <c r="BI61" s="281"/>
      <c r="BJ61" s="281"/>
      <c r="BK61" s="281"/>
      <c r="BL61" s="281"/>
      <c r="BM61" s="282"/>
      <c r="BN61" s="282"/>
      <c r="BO61" s="282"/>
      <c r="BP61" s="282"/>
      <c r="BQ61" s="282"/>
      <c r="BR61" s="282"/>
      <c r="BS61" s="282"/>
      <c r="BT61" s="282"/>
      <c r="BU61" s="282"/>
      <c r="BV61" s="282"/>
      <c r="BW61" s="282"/>
      <c r="BX61" s="282"/>
      <c r="BY61" s="283">
        <f t="shared" si="35"/>
        <v>-1776000.0000000002</v>
      </c>
      <c r="BZ61" s="564"/>
      <c r="CA61" s="229"/>
      <c r="CB61" s="229"/>
      <c r="CC61" s="229"/>
      <c r="CD61" s="256" t="e">
        <f t="shared" ca="1" si="37"/>
        <v>#N/A</v>
      </c>
      <c r="CE61" s="564"/>
    </row>
    <row r="62" spans="2:83" ht="15.95" collapsed="1">
      <c r="B62" s="569"/>
      <c r="C62" s="252" t="s">
        <v>240</v>
      </c>
      <c r="D62" s="253"/>
      <c r="E62" s="254">
        <f t="shared" ref="E62:BY62" si="39">SUM(E63:E69)</f>
        <v>0</v>
      </c>
      <c r="F62" s="254">
        <f t="shared" si="39"/>
        <v>0</v>
      </c>
      <c r="G62" s="254">
        <f t="shared" si="39"/>
        <v>0</v>
      </c>
      <c r="H62" s="254">
        <f t="shared" si="39"/>
        <v>0</v>
      </c>
      <c r="I62" s="254">
        <f t="shared" si="39"/>
        <v>0</v>
      </c>
      <c r="J62" s="254">
        <f t="shared" si="39"/>
        <v>0</v>
      </c>
      <c r="K62" s="254">
        <f t="shared" si="39"/>
        <v>0</v>
      </c>
      <c r="L62" s="254">
        <f t="shared" si="39"/>
        <v>0</v>
      </c>
      <c r="M62" s="254">
        <f t="shared" si="39"/>
        <v>0</v>
      </c>
      <c r="N62" s="254">
        <f t="shared" si="39"/>
        <v>0</v>
      </c>
      <c r="O62" s="254">
        <f t="shared" si="39"/>
        <v>0</v>
      </c>
      <c r="P62" s="254">
        <f t="shared" si="39"/>
        <v>0</v>
      </c>
      <c r="Q62" s="254">
        <f t="shared" si="39"/>
        <v>0</v>
      </c>
      <c r="R62" s="254">
        <f t="shared" si="39"/>
        <v>0</v>
      </c>
      <c r="S62" s="254">
        <f t="shared" si="39"/>
        <v>0</v>
      </c>
      <c r="T62" s="254">
        <f t="shared" si="39"/>
        <v>0</v>
      </c>
      <c r="U62" s="254">
        <f t="shared" si="39"/>
        <v>0</v>
      </c>
      <c r="V62" s="254">
        <f t="shared" si="39"/>
        <v>0</v>
      </c>
      <c r="W62" s="254">
        <f t="shared" si="39"/>
        <v>0</v>
      </c>
      <c r="X62" s="254">
        <f t="shared" si="39"/>
        <v>0</v>
      </c>
      <c r="Y62" s="254">
        <f t="shared" si="39"/>
        <v>0</v>
      </c>
      <c r="Z62" s="254">
        <f t="shared" si="39"/>
        <v>0</v>
      </c>
      <c r="AA62" s="254">
        <f t="shared" si="39"/>
        <v>0</v>
      </c>
      <c r="AB62" s="254">
        <f t="shared" si="39"/>
        <v>0</v>
      </c>
      <c r="AC62" s="254">
        <f t="shared" si="39"/>
        <v>0</v>
      </c>
      <c r="AD62" s="254">
        <f t="shared" si="39"/>
        <v>0</v>
      </c>
      <c r="AE62" s="254">
        <f t="shared" si="39"/>
        <v>0</v>
      </c>
      <c r="AF62" s="254">
        <f t="shared" si="39"/>
        <v>0</v>
      </c>
      <c r="AG62" s="254">
        <f t="shared" si="39"/>
        <v>0</v>
      </c>
      <c r="AH62" s="254">
        <f t="shared" si="39"/>
        <v>0</v>
      </c>
      <c r="AI62" s="254">
        <f t="shared" si="39"/>
        <v>0</v>
      </c>
      <c r="AJ62" s="254">
        <f t="shared" si="39"/>
        <v>0</v>
      </c>
      <c r="AK62" s="254">
        <f t="shared" si="39"/>
        <v>0</v>
      </c>
      <c r="AL62" s="254">
        <f t="shared" si="39"/>
        <v>0</v>
      </c>
      <c r="AM62" s="254">
        <f t="shared" si="39"/>
        <v>0</v>
      </c>
      <c r="AN62" s="254">
        <f t="shared" si="39"/>
        <v>0</v>
      </c>
      <c r="AO62" s="254">
        <f t="shared" si="39"/>
        <v>-1180921.6428571427</v>
      </c>
      <c r="AP62" s="254">
        <f t="shared" si="39"/>
        <v>0</v>
      </c>
      <c r="AQ62" s="254">
        <f t="shared" si="39"/>
        <v>0</v>
      </c>
      <c r="AR62" s="254">
        <f t="shared" si="39"/>
        <v>0</v>
      </c>
      <c r="AS62" s="254">
        <f t="shared" si="39"/>
        <v>0</v>
      </c>
      <c r="AT62" s="254">
        <f t="shared" si="39"/>
        <v>0</v>
      </c>
      <c r="AU62" s="254">
        <f t="shared" si="39"/>
        <v>0</v>
      </c>
      <c r="AV62" s="254">
        <f t="shared" si="39"/>
        <v>0</v>
      </c>
      <c r="AW62" s="254">
        <f t="shared" si="39"/>
        <v>0</v>
      </c>
      <c r="AX62" s="254">
        <f t="shared" si="39"/>
        <v>0</v>
      </c>
      <c r="AY62" s="254">
        <f t="shared" si="39"/>
        <v>0</v>
      </c>
      <c r="AZ62" s="254">
        <f t="shared" si="39"/>
        <v>0</v>
      </c>
      <c r="BA62" s="254">
        <f t="shared" si="39"/>
        <v>0</v>
      </c>
      <c r="BB62" s="254">
        <f t="shared" si="39"/>
        <v>0</v>
      </c>
      <c r="BC62" s="254">
        <f t="shared" si="39"/>
        <v>0</v>
      </c>
      <c r="BD62" s="254">
        <f t="shared" si="39"/>
        <v>0</v>
      </c>
      <c r="BE62" s="254">
        <f t="shared" si="39"/>
        <v>0</v>
      </c>
      <c r="BF62" s="254">
        <f t="shared" si="39"/>
        <v>0</v>
      </c>
      <c r="BG62" s="254">
        <f t="shared" si="39"/>
        <v>0</v>
      </c>
      <c r="BH62" s="254">
        <f t="shared" si="39"/>
        <v>0</v>
      </c>
      <c r="BI62" s="254">
        <f t="shared" si="39"/>
        <v>0</v>
      </c>
      <c r="BJ62" s="254">
        <f t="shared" si="39"/>
        <v>0</v>
      </c>
      <c r="BK62" s="254">
        <f t="shared" si="39"/>
        <v>0</v>
      </c>
      <c r="BL62" s="254">
        <f t="shared" si="39"/>
        <v>0</v>
      </c>
      <c r="BM62" s="254">
        <f t="shared" si="39"/>
        <v>0</v>
      </c>
      <c r="BN62" s="254">
        <f t="shared" si="39"/>
        <v>0</v>
      </c>
      <c r="BO62" s="254">
        <f t="shared" si="39"/>
        <v>0</v>
      </c>
      <c r="BP62" s="254">
        <f t="shared" si="39"/>
        <v>0</v>
      </c>
      <c r="BQ62" s="254">
        <f t="shared" si="39"/>
        <v>0</v>
      </c>
      <c r="BR62" s="254">
        <f t="shared" si="39"/>
        <v>0</v>
      </c>
      <c r="BS62" s="254">
        <f t="shared" si="39"/>
        <v>0</v>
      </c>
      <c r="BT62" s="254">
        <f t="shared" si="39"/>
        <v>0</v>
      </c>
      <c r="BU62" s="254">
        <f t="shared" si="39"/>
        <v>0</v>
      </c>
      <c r="BV62" s="254">
        <f t="shared" si="39"/>
        <v>0</v>
      </c>
      <c r="BW62" s="254">
        <f t="shared" si="39"/>
        <v>0</v>
      </c>
      <c r="BX62" s="254">
        <f t="shared" si="39"/>
        <v>0</v>
      </c>
      <c r="BY62" s="255">
        <f t="shared" si="39"/>
        <v>-1180921.6428571427</v>
      </c>
      <c r="BZ62" s="564"/>
      <c r="CA62" s="229"/>
      <c r="CB62" s="229"/>
      <c r="CC62" s="229"/>
      <c r="CD62" s="256" t="e">
        <f t="array" aca="1" ref="CD62" ca="1">SUM(INDEX(E62:BX62, , 1):INDEX(E62:BX62, ,MATCH($CD$4, $E$3:$BX$3,0) ))</f>
        <v>#N/A</v>
      </c>
      <c r="CE62" s="564"/>
    </row>
    <row r="63" spans="2:83" ht="15.95" hidden="1" outlineLevel="1">
      <c r="B63" s="569"/>
      <c r="C63" s="284" t="s">
        <v>83</v>
      </c>
      <c r="D63" s="258" t="s">
        <v>191</v>
      </c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  <c r="AA63" s="285"/>
      <c r="AB63" s="285"/>
      <c r="AC63" s="285"/>
      <c r="AD63" s="285"/>
      <c r="AE63" s="285"/>
      <c r="AF63" s="285"/>
      <c r="AG63" s="285"/>
      <c r="AH63" s="285"/>
      <c r="AI63" s="285"/>
      <c r="AJ63" s="285"/>
      <c r="AK63" s="285"/>
      <c r="AL63" s="285"/>
      <c r="AM63" s="285"/>
      <c r="AN63" s="285"/>
      <c r="AO63" s="285">
        <f>-Businessplan_prodej!$N$21/12</f>
        <v>-49937.5</v>
      </c>
      <c r="AP63" s="285"/>
      <c r="AQ63" s="285"/>
      <c r="AR63" s="285"/>
      <c r="AS63" s="285"/>
      <c r="AT63" s="285"/>
      <c r="AU63" s="285"/>
      <c r="AV63" s="285"/>
      <c r="AW63" s="285"/>
      <c r="AX63" s="285"/>
      <c r="AY63" s="285"/>
      <c r="AZ63" s="285"/>
      <c r="BA63" s="285"/>
      <c r="BB63" s="285"/>
      <c r="BC63" s="285"/>
      <c r="BD63" s="285"/>
      <c r="BE63" s="285"/>
      <c r="BF63" s="285"/>
      <c r="BG63" s="285"/>
      <c r="BH63" s="285"/>
      <c r="BI63" s="285"/>
      <c r="BJ63" s="285"/>
      <c r="BK63" s="285"/>
      <c r="BL63" s="285"/>
      <c r="BM63" s="285"/>
      <c r="BN63" s="285"/>
      <c r="BO63" s="285"/>
      <c r="BP63" s="285"/>
      <c r="BQ63" s="285"/>
      <c r="BR63" s="285"/>
      <c r="BS63" s="285"/>
      <c r="BT63" s="285"/>
      <c r="BU63" s="285"/>
      <c r="BV63" s="285"/>
      <c r="BW63" s="285"/>
      <c r="BX63" s="285"/>
      <c r="BY63" s="286">
        <f t="shared" ref="BY63:BY69" si="40">SUM(E63:BX63)</f>
        <v>-49937.5</v>
      </c>
      <c r="BZ63" s="564"/>
      <c r="CA63" s="229"/>
      <c r="CB63" s="229"/>
      <c r="CC63" s="229" t="s">
        <v>241</v>
      </c>
      <c r="CD63" s="256" t="e">
        <f t="shared" ref="CD63:CD68" ca="1" si="41">SUM(INDEX(AC63:BX63, , 1):INDEX(AC63:BX63, ,MATCH(CD36, E35:BX35,0) ))</f>
        <v>#REF!</v>
      </c>
      <c r="CE63" s="564"/>
    </row>
    <row r="64" spans="2:83" ht="15.95" hidden="1" outlineLevel="1">
      <c r="B64" s="569"/>
      <c r="C64" s="284" t="s">
        <v>242</v>
      </c>
      <c r="D64" s="258" t="s">
        <v>191</v>
      </c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/>
      <c r="AM64" s="285"/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6">
        <f t="shared" si="40"/>
        <v>0</v>
      </c>
      <c r="BZ64" s="564"/>
      <c r="CA64" s="229"/>
      <c r="CB64" s="229"/>
      <c r="CC64" s="229"/>
      <c r="CD64" s="256" t="e">
        <f t="shared" ca="1" si="41"/>
        <v>#REF!</v>
      </c>
      <c r="CE64" s="564"/>
    </row>
    <row r="65" spans="2:83" ht="15.95" hidden="1" outlineLevel="1">
      <c r="B65" s="569"/>
      <c r="C65" s="287" t="s">
        <v>222</v>
      </c>
      <c r="D65" s="258" t="s">
        <v>191</v>
      </c>
      <c r="E65" s="285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259"/>
      <c r="AO65" s="259"/>
      <c r="AP65" s="259"/>
      <c r="AQ65" s="259"/>
      <c r="AR65" s="259"/>
      <c r="AS65" s="259"/>
      <c r="AT65" s="259"/>
      <c r="AU65" s="259"/>
      <c r="AV65" s="259"/>
      <c r="AW65" s="259"/>
      <c r="AX65" s="259"/>
      <c r="AY65" s="259"/>
      <c r="AZ65" s="259"/>
      <c r="BA65" s="259"/>
      <c r="BB65" s="259"/>
      <c r="BC65" s="259"/>
      <c r="BD65" s="259"/>
      <c r="BE65" s="259"/>
      <c r="BF65" s="259"/>
      <c r="BG65" s="259"/>
      <c r="BH65" s="259"/>
      <c r="BI65" s="259"/>
      <c r="BJ65" s="259"/>
      <c r="BK65" s="259"/>
      <c r="BL65" s="259"/>
      <c r="BM65" s="259"/>
      <c r="BN65" s="259"/>
      <c r="BO65" s="259"/>
      <c r="BP65" s="259"/>
      <c r="BQ65" s="259"/>
      <c r="BR65" s="259"/>
      <c r="BS65" s="259"/>
      <c r="BT65" s="259"/>
      <c r="BU65" s="259"/>
      <c r="BV65" s="259"/>
      <c r="BW65" s="259"/>
      <c r="BX65" s="259"/>
      <c r="BY65" s="286">
        <f t="shared" si="40"/>
        <v>0</v>
      </c>
      <c r="BZ65" s="564"/>
      <c r="CA65" s="229"/>
      <c r="CB65" s="229"/>
      <c r="CC65" s="229"/>
      <c r="CD65" s="256" t="e">
        <f t="shared" ca="1" si="41"/>
        <v>#N/A</v>
      </c>
      <c r="CE65" s="564"/>
    </row>
    <row r="66" spans="2:83" ht="15.95" hidden="1" outlineLevel="1">
      <c r="B66" s="569"/>
      <c r="C66" s="284" t="s">
        <v>223</v>
      </c>
      <c r="D66" s="258" t="s">
        <v>191</v>
      </c>
      <c r="E66" s="285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259"/>
      <c r="BV66" s="259"/>
      <c r="BW66" s="259"/>
      <c r="BX66" s="259"/>
      <c r="BY66" s="286">
        <f t="shared" si="40"/>
        <v>0</v>
      </c>
      <c r="BZ66" s="564"/>
      <c r="CA66" s="229"/>
      <c r="CB66" s="229"/>
      <c r="CC66" s="229"/>
      <c r="CD66" s="256" t="e">
        <f t="shared" ca="1" si="41"/>
        <v>#REF!</v>
      </c>
      <c r="CE66" s="564"/>
    </row>
    <row r="67" spans="2:83" ht="15.95" hidden="1" outlineLevel="1">
      <c r="B67" s="569"/>
      <c r="C67" s="284" t="s">
        <v>230</v>
      </c>
      <c r="D67" s="258" t="s">
        <v>191</v>
      </c>
      <c r="E67" s="285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259"/>
      <c r="AO67" s="259"/>
      <c r="AP67" s="259"/>
      <c r="AQ67" s="259"/>
      <c r="AR67" s="259"/>
      <c r="AS67" s="259"/>
      <c r="AT67" s="259"/>
      <c r="AU67" s="259"/>
      <c r="AV67" s="259"/>
      <c r="AW67" s="259"/>
      <c r="AX67" s="259"/>
      <c r="AY67" s="259"/>
      <c r="AZ67" s="259"/>
      <c r="BA67" s="259"/>
      <c r="BB67" s="259"/>
      <c r="BC67" s="259"/>
      <c r="BD67" s="259"/>
      <c r="BE67" s="259"/>
      <c r="BF67" s="259"/>
      <c r="BG67" s="259"/>
      <c r="BH67" s="259"/>
      <c r="BI67" s="259"/>
      <c r="BJ67" s="259"/>
      <c r="BK67" s="259"/>
      <c r="BL67" s="259"/>
      <c r="BM67" s="259"/>
      <c r="BN67" s="259"/>
      <c r="BO67" s="259"/>
      <c r="BP67" s="259"/>
      <c r="BQ67" s="259"/>
      <c r="BR67" s="259"/>
      <c r="BS67" s="259"/>
      <c r="BT67" s="259"/>
      <c r="BU67" s="259"/>
      <c r="BV67" s="259"/>
      <c r="BW67" s="259"/>
      <c r="BX67" s="259"/>
      <c r="BY67" s="286">
        <f t="shared" si="40"/>
        <v>0</v>
      </c>
      <c r="BZ67" s="564"/>
      <c r="CA67" s="229"/>
      <c r="CB67" s="229"/>
      <c r="CC67" s="229"/>
      <c r="CD67" s="256" t="e">
        <f t="shared" ca="1" si="41"/>
        <v>#REF!</v>
      </c>
      <c r="CE67" s="564"/>
    </row>
    <row r="68" spans="2:83" ht="15.95" hidden="1" outlineLevel="1">
      <c r="B68" s="569"/>
      <c r="C68" s="284" t="s">
        <v>231</v>
      </c>
      <c r="D68" s="258" t="s">
        <v>191</v>
      </c>
      <c r="E68" s="285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259"/>
      <c r="AO68" s="259"/>
      <c r="AP68" s="259"/>
      <c r="AQ68" s="259"/>
      <c r="AR68" s="259"/>
      <c r="AS68" s="259"/>
      <c r="AT68" s="259"/>
      <c r="AU68" s="259"/>
      <c r="AV68" s="259"/>
      <c r="AW68" s="259"/>
      <c r="AX68" s="259"/>
      <c r="AY68" s="259"/>
      <c r="AZ68" s="259"/>
      <c r="BA68" s="259"/>
      <c r="BB68" s="259"/>
      <c r="BC68" s="259"/>
      <c r="BD68" s="259"/>
      <c r="BE68" s="259"/>
      <c r="BF68" s="259"/>
      <c r="BG68" s="259"/>
      <c r="BH68" s="259"/>
      <c r="BI68" s="259"/>
      <c r="BJ68" s="259"/>
      <c r="BK68" s="259"/>
      <c r="BL68" s="259"/>
      <c r="BM68" s="259"/>
      <c r="BN68" s="259"/>
      <c r="BO68" s="259"/>
      <c r="BP68" s="259"/>
      <c r="BQ68" s="259"/>
      <c r="BR68" s="259"/>
      <c r="BS68" s="259"/>
      <c r="BT68" s="259"/>
      <c r="BU68" s="259"/>
      <c r="BV68" s="259"/>
      <c r="BW68" s="259"/>
      <c r="BX68" s="259"/>
      <c r="BY68" s="286">
        <f t="shared" si="40"/>
        <v>0</v>
      </c>
      <c r="BZ68" s="564"/>
      <c r="CA68" s="229"/>
      <c r="CB68" s="229"/>
      <c r="CC68" s="229"/>
      <c r="CD68" s="256" t="e">
        <f t="shared" ca="1" si="41"/>
        <v>#REF!</v>
      </c>
      <c r="CE68" s="564"/>
    </row>
    <row r="69" spans="2:83" ht="15.95" hidden="1" outlineLevel="1">
      <c r="B69" s="569"/>
      <c r="C69" s="288" t="s">
        <v>243</v>
      </c>
      <c r="D69" s="261" t="s">
        <v>191</v>
      </c>
      <c r="E69" s="289"/>
      <c r="F69" s="289"/>
      <c r="G69" s="289"/>
      <c r="H69" s="289"/>
      <c r="I69" s="289"/>
      <c r="J69" s="289"/>
      <c r="K69" s="289"/>
      <c r="L69" s="289"/>
      <c r="M69" s="289"/>
      <c r="N69" s="289"/>
      <c r="O69" s="289"/>
      <c r="P69" s="289"/>
      <c r="Q69" s="289"/>
      <c r="R69" s="289"/>
      <c r="S69" s="289"/>
      <c r="T69" s="289"/>
      <c r="U69" s="289"/>
      <c r="V69" s="289"/>
      <c r="W69" s="289"/>
      <c r="X69" s="289"/>
      <c r="Y69" s="289"/>
      <c r="Z69" s="289"/>
      <c r="AA69" s="289"/>
      <c r="AB69" s="289"/>
      <c r="AC69" s="289"/>
      <c r="AD69" s="289"/>
      <c r="AE69" s="289"/>
      <c r="AF69" s="289"/>
      <c r="AG69" s="289"/>
      <c r="AH69" s="289"/>
      <c r="AI69" s="289"/>
      <c r="AJ69" s="289"/>
      <c r="AK69" s="289"/>
      <c r="AL69" s="289"/>
      <c r="AM69" s="289"/>
      <c r="AN69" s="289"/>
      <c r="AO69" s="289">
        <f>Businessplan_prodej!$N$24</f>
        <v>-1130984.1428571427</v>
      </c>
      <c r="AP69" s="289"/>
      <c r="AQ69" s="289"/>
      <c r="AR69" s="289"/>
      <c r="AS69" s="289"/>
      <c r="AT69" s="289"/>
      <c r="AU69" s="289"/>
      <c r="AV69" s="289"/>
      <c r="AW69" s="289"/>
      <c r="AX69" s="289"/>
      <c r="AY69" s="289"/>
      <c r="AZ69" s="289"/>
      <c r="BA69" s="289"/>
      <c r="BB69" s="289"/>
      <c r="BC69" s="289"/>
      <c r="BD69" s="289"/>
      <c r="BE69" s="289"/>
      <c r="BF69" s="289"/>
      <c r="BG69" s="289"/>
      <c r="BH69" s="289"/>
      <c r="BI69" s="289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6">
        <f t="shared" si="40"/>
        <v>-1130984.1428571427</v>
      </c>
      <c r="BZ69" s="564"/>
      <c r="CA69" s="229"/>
      <c r="CB69" s="229"/>
      <c r="CC69" s="229"/>
      <c r="CD69" s="256" t="e">
        <f t="array" aca="1" ref="CD69" ca="1">SUM(INDEX(AC69:BX69, , 1):INDEX(AC69:BX69, ,MATCH(CD43, E41:BX41,0) ))</f>
        <v>#REF!</v>
      </c>
      <c r="CE69" s="564"/>
    </row>
    <row r="70" spans="2:83" ht="15.95" collapsed="1">
      <c r="B70" s="569"/>
      <c r="C70" s="252" t="s">
        <v>244</v>
      </c>
      <c r="D70" s="253"/>
      <c r="E70" s="254">
        <f t="shared" ref="E70:BY70" si="42">SUM(E71:E72)</f>
        <v>0</v>
      </c>
      <c r="F70" s="254">
        <f t="shared" si="42"/>
        <v>0</v>
      </c>
      <c r="G70" s="254">
        <f t="shared" si="42"/>
        <v>0</v>
      </c>
      <c r="H70" s="254">
        <f t="shared" si="42"/>
        <v>0</v>
      </c>
      <c r="I70" s="254">
        <f t="shared" si="42"/>
        <v>0</v>
      </c>
      <c r="J70" s="254">
        <f t="shared" si="42"/>
        <v>0</v>
      </c>
      <c r="K70" s="254">
        <f t="shared" si="42"/>
        <v>0</v>
      </c>
      <c r="L70" s="254">
        <f t="shared" si="42"/>
        <v>0</v>
      </c>
      <c r="M70" s="254">
        <f t="shared" si="42"/>
        <v>0</v>
      </c>
      <c r="N70" s="254">
        <f t="shared" si="42"/>
        <v>0</v>
      </c>
      <c r="O70" s="254">
        <f t="shared" si="42"/>
        <v>0</v>
      </c>
      <c r="P70" s="254">
        <f t="shared" si="42"/>
        <v>0</v>
      </c>
      <c r="Q70" s="254">
        <f t="shared" si="42"/>
        <v>0</v>
      </c>
      <c r="R70" s="254">
        <f t="shared" si="42"/>
        <v>0</v>
      </c>
      <c r="S70" s="254">
        <f t="shared" si="42"/>
        <v>0</v>
      </c>
      <c r="T70" s="254">
        <f t="shared" si="42"/>
        <v>0</v>
      </c>
      <c r="U70" s="254">
        <f t="shared" si="42"/>
        <v>0</v>
      </c>
      <c r="V70" s="254">
        <f t="shared" si="42"/>
        <v>0</v>
      </c>
      <c r="W70" s="254">
        <f t="shared" si="42"/>
        <v>0</v>
      </c>
      <c r="X70" s="254">
        <f t="shared" si="42"/>
        <v>0</v>
      </c>
      <c r="Y70" s="254">
        <f t="shared" si="42"/>
        <v>0</v>
      </c>
      <c r="Z70" s="254">
        <f t="shared" si="42"/>
        <v>0</v>
      </c>
      <c r="AA70" s="254">
        <f t="shared" si="42"/>
        <v>0</v>
      </c>
      <c r="AB70" s="254">
        <f t="shared" si="42"/>
        <v>0</v>
      </c>
      <c r="AC70" s="254">
        <f t="shared" si="42"/>
        <v>0</v>
      </c>
      <c r="AD70" s="254">
        <f t="shared" si="42"/>
        <v>0</v>
      </c>
      <c r="AE70" s="254">
        <f t="shared" si="42"/>
        <v>0</v>
      </c>
      <c r="AF70" s="254">
        <f t="shared" si="42"/>
        <v>0</v>
      </c>
      <c r="AG70" s="254">
        <f t="shared" si="42"/>
        <v>0</v>
      </c>
      <c r="AH70" s="254">
        <f t="shared" si="42"/>
        <v>0</v>
      </c>
      <c r="AI70" s="254">
        <f t="shared" si="42"/>
        <v>0</v>
      </c>
      <c r="AJ70" s="254">
        <f t="shared" si="42"/>
        <v>0</v>
      </c>
      <c r="AK70" s="254">
        <f t="shared" si="42"/>
        <v>0</v>
      </c>
      <c r="AL70" s="254">
        <f t="shared" si="42"/>
        <v>0</v>
      </c>
      <c r="AM70" s="254">
        <f t="shared" si="42"/>
        <v>0</v>
      </c>
      <c r="AN70" s="254">
        <f t="shared" si="42"/>
        <v>0</v>
      </c>
      <c r="AO70" s="254">
        <f t="shared" si="42"/>
        <v>0</v>
      </c>
      <c r="AP70" s="254">
        <f t="shared" si="42"/>
        <v>0</v>
      </c>
      <c r="AQ70" s="254">
        <f t="shared" si="42"/>
        <v>0</v>
      </c>
      <c r="AR70" s="254">
        <f t="shared" si="42"/>
        <v>0</v>
      </c>
      <c r="AS70" s="254">
        <f t="shared" si="42"/>
        <v>0</v>
      </c>
      <c r="AT70" s="254">
        <f t="shared" si="42"/>
        <v>0</v>
      </c>
      <c r="AU70" s="254">
        <f t="shared" si="42"/>
        <v>0</v>
      </c>
      <c r="AV70" s="254">
        <f t="shared" si="42"/>
        <v>0</v>
      </c>
      <c r="AW70" s="254">
        <f t="shared" si="42"/>
        <v>0</v>
      </c>
      <c r="AX70" s="254">
        <f t="shared" si="42"/>
        <v>0</v>
      </c>
      <c r="AY70" s="254">
        <f t="shared" si="42"/>
        <v>0</v>
      </c>
      <c r="AZ70" s="254">
        <f t="shared" si="42"/>
        <v>0</v>
      </c>
      <c r="BA70" s="254">
        <f t="shared" si="42"/>
        <v>0</v>
      </c>
      <c r="BB70" s="254">
        <f t="shared" si="42"/>
        <v>0</v>
      </c>
      <c r="BC70" s="254">
        <f t="shared" si="42"/>
        <v>0</v>
      </c>
      <c r="BD70" s="254">
        <f t="shared" si="42"/>
        <v>0</v>
      </c>
      <c r="BE70" s="254">
        <f t="shared" si="42"/>
        <v>0</v>
      </c>
      <c r="BF70" s="254">
        <f t="shared" si="42"/>
        <v>0</v>
      </c>
      <c r="BG70" s="254">
        <f t="shared" si="42"/>
        <v>0</v>
      </c>
      <c r="BH70" s="254">
        <f t="shared" si="42"/>
        <v>0</v>
      </c>
      <c r="BI70" s="254">
        <f t="shared" si="42"/>
        <v>0</v>
      </c>
      <c r="BJ70" s="254">
        <f t="shared" si="42"/>
        <v>0</v>
      </c>
      <c r="BK70" s="254">
        <f t="shared" si="42"/>
        <v>0</v>
      </c>
      <c r="BL70" s="254">
        <f t="shared" si="42"/>
        <v>0</v>
      </c>
      <c r="BM70" s="254">
        <f t="shared" si="42"/>
        <v>0</v>
      </c>
      <c r="BN70" s="254">
        <f t="shared" si="42"/>
        <v>0</v>
      </c>
      <c r="BO70" s="254">
        <f t="shared" si="42"/>
        <v>0</v>
      </c>
      <c r="BP70" s="254">
        <f t="shared" si="42"/>
        <v>0</v>
      </c>
      <c r="BQ70" s="254">
        <f t="shared" si="42"/>
        <v>0</v>
      </c>
      <c r="BR70" s="254">
        <f t="shared" si="42"/>
        <v>0</v>
      </c>
      <c r="BS70" s="254">
        <f t="shared" si="42"/>
        <v>0</v>
      </c>
      <c r="BT70" s="254">
        <f t="shared" si="42"/>
        <v>0</v>
      </c>
      <c r="BU70" s="254">
        <f t="shared" si="42"/>
        <v>0</v>
      </c>
      <c r="BV70" s="254">
        <f t="shared" si="42"/>
        <v>0</v>
      </c>
      <c r="BW70" s="254">
        <f t="shared" si="42"/>
        <v>0</v>
      </c>
      <c r="BX70" s="254">
        <f t="shared" si="42"/>
        <v>0</v>
      </c>
      <c r="BY70" s="255">
        <f t="shared" si="42"/>
        <v>0</v>
      </c>
      <c r="BZ70" s="564"/>
      <c r="CA70" s="229"/>
      <c r="CB70" s="229">
        <f t="shared" ref="CB70:CC70" si="43">CB48+CB54</f>
        <v>33359008</v>
      </c>
      <c r="CC70" s="229">
        <f t="shared" si="43"/>
        <v>32100000</v>
      </c>
      <c r="CD70" s="256" t="e">
        <f t="array" aca="1" ref="CD70" ca="1">SUM(INDEX(E70:BX70, , 1):INDEX(E70:BX70, ,MATCH($CD$4, $E$3:$BX$3,0) ))</f>
        <v>#N/A</v>
      </c>
      <c r="CE70" s="564"/>
    </row>
    <row r="71" spans="2:83" ht="15.95" hidden="1" outlineLevel="1">
      <c r="B71" s="569"/>
      <c r="C71" s="290" t="s">
        <v>245</v>
      </c>
      <c r="D71" s="258" t="s">
        <v>191</v>
      </c>
      <c r="E71" s="291"/>
      <c r="F71" s="291"/>
      <c r="G71" s="291"/>
      <c r="H71" s="291"/>
      <c r="I71" s="291"/>
      <c r="J71" s="291"/>
      <c r="K71" s="291"/>
      <c r="L71" s="291"/>
      <c r="M71" s="291"/>
      <c r="N71" s="291"/>
      <c r="O71" s="291"/>
      <c r="P71" s="291"/>
      <c r="Q71" s="291"/>
      <c r="R71" s="291"/>
      <c r="S71" s="291"/>
      <c r="T71" s="291"/>
      <c r="U71" s="291"/>
      <c r="V71" s="291"/>
      <c r="W71" s="291"/>
      <c r="X71" s="291"/>
      <c r="Y71" s="291"/>
      <c r="Z71" s="291"/>
      <c r="AA71" s="291"/>
      <c r="AB71" s="291"/>
      <c r="AC71" s="291"/>
      <c r="AD71" s="291"/>
      <c r="AE71" s="291"/>
      <c r="AF71" s="291"/>
      <c r="AG71" s="291"/>
      <c r="AH71" s="291"/>
      <c r="AI71" s="291"/>
      <c r="AJ71" s="291"/>
      <c r="AK71" s="291"/>
      <c r="AL71" s="291"/>
      <c r="AM71" s="291"/>
      <c r="AN71" s="291"/>
      <c r="AO71" s="291"/>
      <c r="AP71" s="291"/>
      <c r="AQ71" s="291"/>
      <c r="AR71" s="291"/>
      <c r="AS71" s="291"/>
      <c r="AT71" s="291"/>
      <c r="AU71" s="291"/>
      <c r="AV71" s="291"/>
      <c r="AW71" s="291"/>
      <c r="AX71" s="291"/>
      <c r="AY71" s="291"/>
      <c r="AZ71" s="291"/>
      <c r="BA71" s="291"/>
      <c r="BB71" s="291"/>
      <c r="BC71" s="291"/>
      <c r="BD71" s="291"/>
      <c r="BE71" s="291"/>
      <c r="BF71" s="291"/>
      <c r="BG71" s="291"/>
      <c r="BH71" s="291"/>
      <c r="BI71" s="291"/>
      <c r="BJ71" s="291"/>
      <c r="BK71" s="291"/>
      <c r="BL71" s="291"/>
      <c r="BM71" s="291"/>
      <c r="BN71" s="291"/>
      <c r="BO71" s="291"/>
      <c r="BP71" s="291"/>
      <c r="BQ71" s="291"/>
      <c r="BR71" s="291"/>
      <c r="BS71" s="291"/>
      <c r="BT71" s="291"/>
      <c r="BU71" s="291"/>
      <c r="BV71" s="291"/>
      <c r="BW71" s="291"/>
      <c r="BX71" s="291"/>
      <c r="BY71" s="292">
        <f t="shared" ref="BY71:BY72" si="44">SUM(E71:BX71)</f>
        <v>0</v>
      </c>
      <c r="BZ71" s="564"/>
      <c r="CA71" s="229"/>
      <c r="CB71" s="229"/>
      <c r="CC71" s="229"/>
      <c r="CD71" s="256" t="e">
        <f t="shared" ref="CD71:CD72" ca="1" si="45">SUM(INDEX(AC71:BX71, , 1):INDEX(AC71:BX71, ,MATCH($CD$4, $E$3:$BX$3,0) ))</f>
        <v>#N/A</v>
      </c>
      <c r="CE71" s="564"/>
    </row>
    <row r="72" spans="2:83" ht="15.95" hidden="1" outlineLevel="1">
      <c r="B72" s="569"/>
      <c r="C72" s="288" t="s">
        <v>246</v>
      </c>
      <c r="D72" s="261" t="s">
        <v>191</v>
      </c>
      <c r="E72" s="293"/>
      <c r="F72" s="282"/>
      <c r="G72" s="282"/>
      <c r="H72" s="282"/>
      <c r="I72" s="282"/>
      <c r="J72" s="282"/>
      <c r="K72" s="282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  <c r="X72" s="282"/>
      <c r="Y72" s="282"/>
      <c r="Z72" s="282"/>
      <c r="AA72" s="282"/>
      <c r="AB72" s="282"/>
      <c r="AC72" s="282"/>
      <c r="AD72" s="282"/>
      <c r="AE72" s="282"/>
      <c r="AF72" s="282"/>
      <c r="AG72" s="282"/>
      <c r="AH72" s="282"/>
      <c r="AI72" s="282"/>
      <c r="AJ72" s="282"/>
      <c r="AK72" s="282"/>
      <c r="AL72" s="282"/>
      <c r="AM72" s="282"/>
      <c r="AN72" s="282"/>
      <c r="AO72" s="282"/>
      <c r="AP72" s="282"/>
      <c r="AQ72" s="282"/>
      <c r="AR72" s="282"/>
      <c r="AS72" s="282"/>
      <c r="AT72" s="282"/>
      <c r="AU72" s="282"/>
      <c r="AV72" s="282"/>
      <c r="AW72" s="282"/>
      <c r="AX72" s="282"/>
      <c r="AY72" s="282"/>
      <c r="AZ72" s="282"/>
      <c r="BA72" s="282"/>
      <c r="BB72" s="282"/>
      <c r="BC72" s="282"/>
      <c r="BD72" s="282"/>
      <c r="BE72" s="282"/>
      <c r="BF72" s="282"/>
      <c r="BG72" s="282"/>
      <c r="BH72" s="282"/>
      <c r="BI72" s="282"/>
      <c r="BJ72" s="282"/>
      <c r="BK72" s="282"/>
      <c r="BL72" s="282"/>
      <c r="BM72" s="282"/>
      <c r="BN72" s="282"/>
      <c r="BO72" s="282"/>
      <c r="BP72" s="282"/>
      <c r="BQ72" s="282"/>
      <c r="BR72" s="282"/>
      <c r="BS72" s="282"/>
      <c r="BT72" s="282"/>
      <c r="BU72" s="282"/>
      <c r="BV72" s="282"/>
      <c r="BW72" s="282"/>
      <c r="BX72" s="282"/>
      <c r="BY72" s="294">
        <f t="shared" si="44"/>
        <v>0</v>
      </c>
      <c r="BZ72" s="563"/>
      <c r="CA72" s="229"/>
      <c r="CB72" s="229"/>
      <c r="CC72" s="229"/>
      <c r="CD72" s="256" t="e">
        <f t="shared" ca="1" si="45"/>
        <v>#N/A</v>
      </c>
      <c r="CE72" s="563"/>
    </row>
    <row r="73" spans="2:83">
      <c r="B73" s="569"/>
      <c r="C73" s="252" t="s">
        <v>247</v>
      </c>
      <c r="D73" s="253"/>
      <c r="E73" s="254">
        <f t="shared" ref="E73:BX73" si="46">SUM(E74:E80)</f>
        <v>0</v>
      </c>
      <c r="F73" s="254">
        <f t="shared" si="46"/>
        <v>0</v>
      </c>
      <c r="G73" s="254">
        <f t="shared" si="46"/>
        <v>0</v>
      </c>
      <c r="H73" s="254">
        <f t="shared" si="46"/>
        <v>0</v>
      </c>
      <c r="I73" s="254">
        <f t="shared" si="46"/>
        <v>0</v>
      </c>
      <c r="J73" s="254">
        <f t="shared" si="46"/>
        <v>0</v>
      </c>
      <c r="K73" s="254">
        <f t="shared" si="46"/>
        <v>0</v>
      </c>
      <c r="L73" s="254">
        <f t="shared" si="46"/>
        <v>0</v>
      </c>
      <c r="M73" s="254">
        <f t="shared" si="46"/>
        <v>0</v>
      </c>
      <c r="N73" s="254">
        <f t="shared" si="46"/>
        <v>0</v>
      </c>
      <c r="O73" s="254">
        <f t="shared" si="46"/>
        <v>0</v>
      </c>
      <c r="P73" s="254">
        <f t="shared" si="46"/>
        <v>0</v>
      </c>
      <c r="Q73" s="254">
        <f t="shared" si="46"/>
        <v>-1918824</v>
      </c>
      <c r="R73" s="254">
        <f t="shared" si="46"/>
        <v>-50000</v>
      </c>
      <c r="S73" s="254">
        <f t="shared" si="46"/>
        <v>0</v>
      </c>
      <c r="T73" s="254">
        <f t="shared" si="46"/>
        <v>0</v>
      </c>
      <c r="U73" s="254">
        <f t="shared" si="46"/>
        <v>-20000000</v>
      </c>
      <c r="V73" s="254">
        <f t="shared" si="46"/>
        <v>0</v>
      </c>
      <c r="W73" s="254">
        <f t="shared" si="46"/>
        <v>0</v>
      </c>
      <c r="X73" s="254">
        <f t="shared" si="46"/>
        <v>0</v>
      </c>
      <c r="Y73" s="254">
        <f t="shared" si="46"/>
        <v>0</v>
      </c>
      <c r="Z73" s="254">
        <f t="shared" si="46"/>
        <v>0</v>
      </c>
      <c r="AA73" s="254">
        <f t="shared" si="46"/>
        <v>0</v>
      </c>
      <c r="AB73" s="254">
        <f t="shared" si="46"/>
        <v>0</v>
      </c>
      <c r="AC73" s="254">
        <f t="shared" si="46"/>
        <v>0</v>
      </c>
      <c r="AD73" s="254">
        <f t="shared" si="46"/>
        <v>0</v>
      </c>
      <c r="AE73" s="254">
        <f t="shared" si="46"/>
        <v>0</v>
      </c>
      <c r="AF73" s="254">
        <f t="shared" si="46"/>
        <v>0</v>
      </c>
      <c r="AG73" s="254">
        <f t="shared" si="46"/>
        <v>0</v>
      </c>
      <c r="AH73" s="254">
        <f t="shared" si="46"/>
        <v>0</v>
      </c>
      <c r="AI73" s="254">
        <f t="shared" si="46"/>
        <v>0</v>
      </c>
      <c r="AJ73" s="254">
        <f t="shared" si="46"/>
        <v>0</v>
      </c>
      <c r="AK73" s="254">
        <f t="shared" si="46"/>
        <v>0</v>
      </c>
      <c r="AL73" s="254">
        <f t="shared" si="46"/>
        <v>0</v>
      </c>
      <c r="AM73" s="254">
        <f t="shared" si="46"/>
        <v>0</v>
      </c>
      <c r="AN73" s="254">
        <f t="shared" si="46"/>
        <v>0</v>
      </c>
      <c r="AO73" s="254">
        <f t="shared" si="46"/>
        <v>-96920341.333333343</v>
      </c>
      <c r="AP73" s="254">
        <f t="shared" si="46"/>
        <v>0</v>
      </c>
      <c r="AQ73" s="254">
        <f t="shared" si="46"/>
        <v>0</v>
      </c>
      <c r="AR73" s="254">
        <f t="shared" si="46"/>
        <v>0</v>
      </c>
      <c r="AS73" s="254">
        <f t="shared" si="46"/>
        <v>0</v>
      </c>
      <c r="AT73" s="254">
        <f t="shared" si="46"/>
        <v>0</v>
      </c>
      <c r="AU73" s="254">
        <f t="shared" si="46"/>
        <v>0</v>
      </c>
      <c r="AV73" s="254">
        <f t="shared" si="46"/>
        <v>0</v>
      </c>
      <c r="AW73" s="254">
        <f t="shared" si="46"/>
        <v>0</v>
      </c>
      <c r="AX73" s="254">
        <f t="shared" si="46"/>
        <v>0</v>
      </c>
      <c r="AY73" s="254">
        <f t="shared" si="46"/>
        <v>0</v>
      </c>
      <c r="AZ73" s="254">
        <f t="shared" si="46"/>
        <v>0</v>
      </c>
      <c r="BA73" s="254">
        <f t="shared" si="46"/>
        <v>0</v>
      </c>
      <c r="BB73" s="254">
        <f t="shared" si="46"/>
        <v>0</v>
      </c>
      <c r="BC73" s="254">
        <f t="shared" si="46"/>
        <v>0</v>
      </c>
      <c r="BD73" s="254">
        <f t="shared" si="46"/>
        <v>0</v>
      </c>
      <c r="BE73" s="254">
        <f t="shared" si="46"/>
        <v>0</v>
      </c>
      <c r="BF73" s="254">
        <f t="shared" si="46"/>
        <v>0</v>
      </c>
      <c r="BG73" s="254">
        <f t="shared" si="46"/>
        <v>0</v>
      </c>
      <c r="BH73" s="254">
        <f t="shared" si="46"/>
        <v>0</v>
      </c>
      <c r="BI73" s="254">
        <f t="shared" si="46"/>
        <v>0</v>
      </c>
      <c r="BJ73" s="254">
        <f t="shared" si="46"/>
        <v>0</v>
      </c>
      <c r="BK73" s="254">
        <f t="shared" si="46"/>
        <v>0</v>
      </c>
      <c r="BL73" s="254">
        <f t="shared" si="46"/>
        <v>0</v>
      </c>
      <c r="BM73" s="254">
        <f t="shared" si="46"/>
        <v>0</v>
      </c>
      <c r="BN73" s="254">
        <f t="shared" si="46"/>
        <v>0</v>
      </c>
      <c r="BO73" s="254">
        <f t="shared" si="46"/>
        <v>0</v>
      </c>
      <c r="BP73" s="254">
        <f t="shared" si="46"/>
        <v>0</v>
      </c>
      <c r="BQ73" s="254">
        <f t="shared" si="46"/>
        <v>0</v>
      </c>
      <c r="BR73" s="254">
        <f t="shared" si="46"/>
        <v>0</v>
      </c>
      <c r="BS73" s="254">
        <f t="shared" si="46"/>
        <v>0</v>
      </c>
      <c r="BT73" s="254">
        <f t="shared" si="46"/>
        <v>0</v>
      </c>
      <c r="BU73" s="254">
        <f t="shared" si="46"/>
        <v>0</v>
      </c>
      <c r="BV73" s="254">
        <f t="shared" si="46"/>
        <v>0</v>
      </c>
      <c r="BW73" s="254">
        <f t="shared" si="46"/>
        <v>0</v>
      </c>
      <c r="BX73" s="254">
        <f t="shared" si="46"/>
        <v>0</v>
      </c>
      <c r="BY73" s="536">
        <f>SUM(BZ18:BZ61)</f>
        <v>-116922755.15840921</v>
      </c>
      <c r="BZ73" s="568"/>
      <c r="CA73" s="229"/>
      <c r="CB73" s="229"/>
      <c r="CC73" s="229"/>
      <c r="CD73" s="229"/>
      <c r="CE73" s="229"/>
    </row>
    <row r="74" spans="2:83" outlineLevel="1">
      <c r="B74" s="569"/>
      <c r="C74" s="257" t="s">
        <v>248</v>
      </c>
      <c r="D74" s="258" t="s">
        <v>191</v>
      </c>
      <c r="E74" s="259"/>
      <c r="F74" s="259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>
        <f>-1918824</f>
        <v>-1918824</v>
      </c>
      <c r="R74" s="259"/>
      <c r="S74" s="259"/>
      <c r="T74" s="259"/>
      <c r="U74" s="348">
        <f>-4000000</f>
        <v>-4000000</v>
      </c>
      <c r="V74" s="259"/>
      <c r="W74" s="259"/>
      <c r="X74" s="259"/>
      <c r="Y74" s="259"/>
      <c r="Z74" s="259"/>
      <c r="AA74" s="259"/>
      <c r="AB74" s="259"/>
      <c r="AC74" s="259"/>
      <c r="AD74" s="259"/>
      <c r="AE74" s="259"/>
      <c r="AF74" s="259"/>
      <c r="AG74" s="259"/>
      <c r="AH74" s="259"/>
      <c r="AI74" s="259"/>
      <c r="AJ74" s="259"/>
      <c r="AK74" s="259"/>
      <c r="AL74" s="259"/>
      <c r="AM74" s="259"/>
      <c r="AN74" s="259"/>
      <c r="AO74" s="259">
        <f>-$BY$5-SUM($E$74:AN74)</f>
        <v>-6761306</v>
      </c>
      <c r="AP74" s="259"/>
      <c r="AQ74" s="259"/>
      <c r="AR74" s="259"/>
      <c r="AS74" s="259"/>
      <c r="AT74" s="259"/>
      <c r="AU74" s="259"/>
      <c r="AV74" s="259"/>
      <c r="AW74" s="259"/>
      <c r="AX74" s="259"/>
      <c r="AY74" s="259"/>
      <c r="AZ74" s="259"/>
      <c r="BA74" s="259"/>
      <c r="BB74" s="259"/>
      <c r="BC74" s="285"/>
      <c r="BD74" s="259"/>
      <c r="BE74" s="259"/>
      <c r="BF74" s="259"/>
      <c r="BG74" s="259"/>
      <c r="BH74" s="259"/>
      <c r="BI74" s="259"/>
      <c r="BJ74" s="259"/>
      <c r="BK74" s="259"/>
      <c r="BL74" s="259"/>
      <c r="BM74" s="259"/>
      <c r="BN74" s="259"/>
      <c r="BO74" s="259"/>
      <c r="BP74" s="259"/>
      <c r="BQ74" s="259"/>
      <c r="BR74" s="259"/>
      <c r="BS74" s="259"/>
      <c r="BT74" s="259"/>
      <c r="BU74" s="259"/>
      <c r="BV74" s="259"/>
      <c r="BW74" s="259"/>
      <c r="BX74" s="265"/>
      <c r="BY74" s="292">
        <f t="shared" ref="BY74:BY80" si="47">SUM(E74:BX74)</f>
        <v>-12680130</v>
      </c>
      <c r="BZ74" s="537">
        <f>SUM(BY74:BY80)</f>
        <v>-118889165.33333334</v>
      </c>
      <c r="CA74" s="229"/>
      <c r="CB74" s="229"/>
      <c r="CC74" s="229"/>
      <c r="CD74" s="229"/>
      <c r="CE74" s="229"/>
    </row>
    <row r="75" spans="2:83" outlineLevel="1">
      <c r="B75" s="569"/>
      <c r="C75" s="257" t="s">
        <v>249</v>
      </c>
      <c r="D75" s="258" t="s">
        <v>191</v>
      </c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348">
        <f>U74*4</f>
        <v>-16000000</v>
      </c>
      <c r="V75" s="259"/>
      <c r="W75" s="259"/>
      <c r="X75" s="259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/>
      <c r="AN75" s="259"/>
      <c r="AO75" s="259">
        <f>-$BY$6-SUM($E$75:AN75)</f>
        <v>-26597702</v>
      </c>
      <c r="AP75" s="259"/>
      <c r="AQ75" s="259"/>
      <c r="AR75" s="259"/>
      <c r="AS75" s="259"/>
      <c r="AT75" s="259"/>
      <c r="AU75" s="259"/>
      <c r="AV75" s="259"/>
      <c r="AW75" s="259"/>
      <c r="AX75" s="259"/>
      <c r="AY75" s="259"/>
      <c r="AZ75" s="259"/>
      <c r="BA75" s="259"/>
      <c r="BB75" s="259"/>
      <c r="BC75" s="259"/>
      <c r="BD75" s="259"/>
      <c r="BE75" s="259"/>
      <c r="BF75" s="259"/>
      <c r="BG75" s="259"/>
      <c r="BH75" s="259"/>
      <c r="BI75" s="259"/>
      <c r="BJ75" s="259"/>
      <c r="BK75" s="259"/>
      <c r="BL75" s="259"/>
      <c r="BM75" s="259"/>
      <c r="BN75" s="259"/>
      <c r="BO75" s="259"/>
      <c r="BP75" s="259"/>
      <c r="BQ75" s="259"/>
      <c r="BR75" s="259"/>
      <c r="BS75" s="259"/>
      <c r="BT75" s="259"/>
      <c r="BU75" s="259"/>
      <c r="BV75" s="259"/>
      <c r="BW75" s="259"/>
      <c r="BX75" s="265"/>
      <c r="BY75" s="286">
        <f t="shared" si="47"/>
        <v>-42597702</v>
      </c>
      <c r="BZ75" s="564"/>
      <c r="CA75" s="229"/>
      <c r="CB75" s="229"/>
      <c r="CC75" s="229"/>
      <c r="CD75" s="229"/>
      <c r="CE75" s="229"/>
    </row>
    <row r="76" spans="2:83" outlineLevel="1">
      <c r="B76" s="569"/>
      <c r="C76" s="257" t="s">
        <v>250</v>
      </c>
      <c r="D76" s="258" t="s">
        <v>191</v>
      </c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259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/>
      <c r="AK76" s="259"/>
      <c r="AL76" s="259"/>
      <c r="AM76" s="259"/>
      <c r="AN76" s="259"/>
      <c r="AO76" s="259"/>
      <c r="AP76" s="259"/>
      <c r="AQ76" s="259"/>
      <c r="AR76" s="259"/>
      <c r="AS76" s="259"/>
      <c r="AT76" s="259"/>
      <c r="AU76" s="259"/>
      <c r="AV76" s="259"/>
      <c r="AW76" s="259"/>
      <c r="AX76" s="259"/>
      <c r="AY76" s="259"/>
      <c r="AZ76" s="259"/>
      <c r="BA76" s="259"/>
      <c r="BB76" s="259"/>
      <c r="BC76" s="259"/>
      <c r="BD76" s="259"/>
      <c r="BE76" s="259"/>
      <c r="BF76" s="259"/>
      <c r="BG76" s="259"/>
      <c r="BH76" s="259"/>
      <c r="BI76" s="259"/>
      <c r="BJ76" s="259"/>
      <c r="BK76" s="259"/>
      <c r="BL76" s="259"/>
      <c r="BM76" s="259"/>
      <c r="BN76" s="259"/>
      <c r="BO76" s="259"/>
      <c r="BP76" s="259"/>
      <c r="BQ76" s="259"/>
      <c r="BR76" s="259"/>
      <c r="BS76" s="259"/>
      <c r="BT76" s="259"/>
      <c r="BU76" s="259"/>
      <c r="BV76" s="259"/>
      <c r="BW76" s="259"/>
      <c r="BX76" s="265"/>
      <c r="BY76" s="286">
        <f t="shared" si="47"/>
        <v>0</v>
      </c>
      <c r="BZ76" s="564"/>
      <c r="CA76" s="229"/>
      <c r="CB76" s="229"/>
      <c r="CC76" s="229"/>
      <c r="CD76" s="229"/>
      <c r="CE76" s="229"/>
    </row>
    <row r="77" spans="2:83" outlineLevel="1">
      <c r="B77" s="569"/>
      <c r="C77" s="257" t="s">
        <v>251</v>
      </c>
      <c r="D77" s="258" t="s">
        <v>191</v>
      </c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59"/>
      <c r="AO77" s="259"/>
      <c r="AP77" s="259"/>
      <c r="AQ77" s="259"/>
      <c r="AR77" s="259"/>
      <c r="AS77" s="259"/>
      <c r="AT77" s="259"/>
      <c r="AU77" s="259"/>
      <c r="AV77" s="259"/>
      <c r="AW77" s="259"/>
      <c r="AX77" s="259"/>
      <c r="AY77" s="259"/>
      <c r="AZ77" s="259"/>
      <c r="BA77" s="259"/>
      <c r="BB77" s="259"/>
      <c r="BC77" s="259"/>
      <c r="BD77" s="259"/>
      <c r="BE77" s="259"/>
      <c r="BF77" s="259"/>
      <c r="BG77" s="259"/>
      <c r="BH77" s="259"/>
      <c r="BI77" s="259"/>
      <c r="BJ77" s="259"/>
      <c r="BK77" s="259"/>
      <c r="BL77" s="259"/>
      <c r="BM77" s="259"/>
      <c r="BN77" s="259"/>
      <c r="BO77" s="259"/>
      <c r="BP77" s="259"/>
      <c r="BQ77" s="259"/>
      <c r="BR77" s="259"/>
      <c r="BS77" s="259"/>
      <c r="BT77" s="259"/>
      <c r="BU77" s="259"/>
      <c r="BV77" s="259"/>
      <c r="BW77" s="259"/>
      <c r="BX77" s="265"/>
      <c r="BY77" s="286">
        <f t="shared" si="47"/>
        <v>0</v>
      </c>
      <c r="BZ77" s="564"/>
      <c r="CA77" s="229"/>
      <c r="CB77" s="229"/>
      <c r="CC77" s="229"/>
      <c r="CD77" s="229"/>
      <c r="CE77" s="229"/>
    </row>
    <row r="78" spans="2:83" outlineLevel="1">
      <c r="B78" s="569"/>
      <c r="C78" s="257" t="s">
        <v>252</v>
      </c>
      <c r="D78" s="258" t="s">
        <v>191</v>
      </c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>
        <f>-50000</f>
        <v>-50000</v>
      </c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59"/>
      <c r="AO78" s="259"/>
      <c r="AP78" s="259"/>
      <c r="AQ78" s="259"/>
      <c r="AR78" s="259"/>
      <c r="AS78" s="259"/>
      <c r="AT78" s="259"/>
      <c r="AU78" s="259"/>
      <c r="AV78" s="259"/>
      <c r="AW78" s="259"/>
      <c r="AX78" s="259"/>
      <c r="AY78" s="259"/>
      <c r="AZ78" s="259"/>
      <c r="BA78" s="259"/>
      <c r="BB78" s="259"/>
      <c r="BC78" s="285"/>
      <c r="BD78" s="259"/>
      <c r="BE78" s="259"/>
      <c r="BF78" s="259"/>
      <c r="BG78" s="259"/>
      <c r="BH78" s="259"/>
      <c r="BI78" s="259"/>
      <c r="BJ78" s="259"/>
      <c r="BK78" s="259"/>
      <c r="BL78" s="259"/>
      <c r="BM78" s="259"/>
      <c r="BN78" s="259"/>
      <c r="BO78" s="259"/>
      <c r="BP78" s="259"/>
      <c r="BQ78" s="259"/>
      <c r="BR78" s="259"/>
      <c r="BS78" s="259"/>
      <c r="BT78" s="259"/>
      <c r="BU78" s="259"/>
      <c r="BV78" s="259"/>
      <c r="BW78" s="259"/>
      <c r="BX78" s="265"/>
      <c r="BY78" s="286">
        <f t="shared" si="47"/>
        <v>-50000</v>
      </c>
      <c r="BZ78" s="564"/>
      <c r="CA78" s="229"/>
      <c r="CB78" s="229"/>
      <c r="CC78" s="229"/>
      <c r="CD78" s="229"/>
      <c r="CE78" s="229"/>
    </row>
    <row r="79" spans="2:83" outlineLevel="1">
      <c r="B79" s="569"/>
      <c r="C79" s="257" t="s">
        <v>253</v>
      </c>
      <c r="D79" s="258" t="s">
        <v>191</v>
      </c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59"/>
      <c r="AP79" s="259"/>
      <c r="AQ79" s="259"/>
      <c r="AR79" s="259"/>
      <c r="AS79" s="259"/>
      <c r="AT79" s="259"/>
      <c r="AU79" s="259"/>
      <c r="AV79" s="259"/>
      <c r="AW79" s="259"/>
      <c r="AX79" s="259"/>
      <c r="AY79" s="259"/>
      <c r="AZ79" s="259"/>
      <c r="BA79" s="259"/>
      <c r="BB79" s="259"/>
      <c r="BC79" s="285"/>
      <c r="BD79" s="259"/>
      <c r="BE79" s="259"/>
      <c r="BF79" s="259"/>
      <c r="BG79" s="259"/>
      <c r="BH79" s="259"/>
      <c r="BI79" s="259"/>
      <c r="BJ79" s="259"/>
      <c r="BK79" s="259"/>
      <c r="BL79" s="259"/>
      <c r="BM79" s="259"/>
      <c r="BN79" s="259"/>
      <c r="BO79" s="259"/>
      <c r="BP79" s="259"/>
      <c r="BQ79" s="259"/>
      <c r="BR79" s="259"/>
      <c r="BS79" s="259"/>
      <c r="BT79" s="259"/>
      <c r="BU79" s="259"/>
      <c r="BV79" s="259"/>
      <c r="BW79" s="259"/>
      <c r="BX79" s="265"/>
      <c r="BY79" s="295">
        <f t="shared" si="47"/>
        <v>0</v>
      </c>
      <c r="BZ79" s="564"/>
      <c r="CA79" s="229"/>
      <c r="CB79" s="229"/>
      <c r="CC79" s="229"/>
      <c r="CD79" s="229"/>
      <c r="CE79" s="229"/>
    </row>
    <row r="80" spans="2:83" outlineLevel="1">
      <c r="B80" s="570"/>
      <c r="C80" s="279" t="s">
        <v>254</v>
      </c>
      <c r="D80" s="296" t="s">
        <v>191</v>
      </c>
      <c r="E80" s="281"/>
      <c r="F80" s="281"/>
      <c r="G80" s="281"/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>
        <f>-BZ9</f>
        <v>-63561333.333333336</v>
      </c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2"/>
      <c r="BY80" s="269">
        <f t="shared" si="47"/>
        <v>-63561333.333333336</v>
      </c>
      <c r="BZ80" s="571"/>
      <c r="CA80" s="229"/>
      <c r="CB80" s="229"/>
      <c r="CC80" s="229"/>
      <c r="CD80" s="229"/>
      <c r="CE80" s="229"/>
    </row>
    <row r="81" spans="2:83" ht="15.95">
      <c r="B81" s="540" t="s">
        <v>255</v>
      </c>
      <c r="C81" s="563"/>
      <c r="D81" s="297" t="s">
        <v>191</v>
      </c>
      <c r="E81" s="298">
        <f t="shared" ref="E81:BX81" si="48">(E18+E24+E27+E35+E38+E48+E54+E62+E70+E73)</f>
        <v>0</v>
      </c>
      <c r="F81" s="298">
        <f t="shared" si="48"/>
        <v>0</v>
      </c>
      <c r="G81" s="298">
        <f t="shared" si="48"/>
        <v>0</v>
      </c>
      <c r="H81" s="298">
        <f t="shared" si="48"/>
        <v>0</v>
      </c>
      <c r="I81" s="298">
        <f t="shared" si="48"/>
        <v>-87324</v>
      </c>
      <c r="J81" s="298">
        <f t="shared" si="48"/>
        <v>-100000</v>
      </c>
      <c r="K81" s="298">
        <f t="shared" si="48"/>
        <v>-600</v>
      </c>
      <c r="L81" s="298">
        <f t="shared" si="48"/>
        <v>-5024121.0999999996</v>
      </c>
      <c r="M81" s="298">
        <f t="shared" si="48"/>
        <v>-607.44000000000005</v>
      </c>
      <c r="N81" s="298">
        <f t="shared" si="48"/>
        <v>-12221</v>
      </c>
      <c r="O81" s="298">
        <f t="shared" si="48"/>
        <v>-26087.89256198347</v>
      </c>
      <c r="P81" s="298">
        <f t="shared" si="48"/>
        <v>-31398.685950413223</v>
      </c>
      <c r="Q81" s="298">
        <f t="shared" si="48"/>
        <v>-2392622.4132231404</v>
      </c>
      <c r="R81" s="298">
        <f t="shared" si="48"/>
        <v>-230793.06438016528</v>
      </c>
      <c r="S81" s="298">
        <f t="shared" si="48"/>
        <v>-1219959.9888619836</v>
      </c>
      <c r="T81" s="298">
        <f t="shared" si="48"/>
        <v>-170136.63256198348</v>
      </c>
      <c r="U81" s="298">
        <f t="shared" si="48"/>
        <v>-41758446.632561982</v>
      </c>
      <c r="V81" s="298">
        <f t="shared" si="48"/>
        <v>-1070894.8825619835</v>
      </c>
      <c r="W81" s="298">
        <f t="shared" si="48"/>
        <v>-170136.63256198348</v>
      </c>
      <c r="X81" s="298">
        <f t="shared" si="48"/>
        <v>-870136.63256198354</v>
      </c>
      <c r="Y81" s="298">
        <f t="shared" si="48"/>
        <v>-170136.63256198348</v>
      </c>
      <c r="Z81" s="298">
        <f t="shared" si="48"/>
        <v>-1070135.6325619835</v>
      </c>
      <c r="AA81" s="298">
        <f t="shared" si="48"/>
        <v>-170135.63256198348</v>
      </c>
      <c r="AB81" s="298">
        <f t="shared" si="48"/>
        <v>-707635.63256198354</v>
      </c>
      <c r="AC81" s="298">
        <f t="shared" si="48"/>
        <v>-726609.12256198353</v>
      </c>
      <c r="AD81" s="298">
        <f t="shared" si="48"/>
        <v>-189109.12256198347</v>
      </c>
      <c r="AE81" s="298">
        <f t="shared" si="48"/>
        <v>-189109.12256198347</v>
      </c>
      <c r="AF81" s="298">
        <f t="shared" si="48"/>
        <v>-189109.12256198347</v>
      </c>
      <c r="AG81" s="298">
        <f t="shared" si="48"/>
        <v>-7951769.6575619839</v>
      </c>
      <c r="AH81" s="298">
        <f t="shared" si="48"/>
        <v>-8099755.7175619835</v>
      </c>
      <c r="AI81" s="298">
        <f t="shared" si="48"/>
        <v>-8273625.7543347208</v>
      </c>
      <c r="AJ81" s="298">
        <f t="shared" si="48"/>
        <v>-10115923.38422865</v>
      </c>
      <c r="AK81" s="298">
        <f t="shared" si="48"/>
        <v>-10190590.050895318</v>
      </c>
      <c r="AL81" s="298">
        <f t="shared" si="48"/>
        <v>-10265256.717561984</v>
      </c>
      <c r="AM81" s="298">
        <f t="shared" si="48"/>
        <v>-10339923.38422865</v>
      </c>
      <c r="AN81" s="298">
        <f t="shared" si="48"/>
        <v>-10252803.38422865</v>
      </c>
      <c r="AO81" s="298">
        <f t="shared" si="48"/>
        <v>-103744805.42285715</v>
      </c>
      <c r="AP81" s="298">
        <f t="shared" si="48"/>
        <v>0</v>
      </c>
      <c r="AQ81" s="298">
        <f t="shared" si="48"/>
        <v>0</v>
      </c>
      <c r="AR81" s="298">
        <f t="shared" si="48"/>
        <v>0</v>
      </c>
      <c r="AS81" s="298">
        <f t="shared" si="48"/>
        <v>0</v>
      </c>
      <c r="AT81" s="298">
        <f t="shared" si="48"/>
        <v>0</v>
      </c>
      <c r="AU81" s="298">
        <f t="shared" si="48"/>
        <v>0</v>
      </c>
      <c r="AV81" s="298">
        <f t="shared" si="48"/>
        <v>0</v>
      </c>
      <c r="AW81" s="298">
        <f t="shared" si="48"/>
        <v>0</v>
      </c>
      <c r="AX81" s="298">
        <f t="shared" si="48"/>
        <v>0</v>
      </c>
      <c r="AY81" s="298">
        <f t="shared" si="48"/>
        <v>0</v>
      </c>
      <c r="AZ81" s="298">
        <f t="shared" si="48"/>
        <v>0</v>
      </c>
      <c r="BA81" s="298">
        <f t="shared" si="48"/>
        <v>0</v>
      </c>
      <c r="BB81" s="298">
        <f t="shared" si="48"/>
        <v>0</v>
      </c>
      <c r="BC81" s="298">
        <f t="shared" si="48"/>
        <v>0</v>
      </c>
      <c r="BD81" s="298">
        <f t="shared" si="48"/>
        <v>0</v>
      </c>
      <c r="BE81" s="298">
        <f t="shared" si="48"/>
        <v>0</v>
      </c>
      <c r="BF81" s="298">
        <f t="shared" si="48"/>
        <v>0</v>
      </c>
      <c r="BG81" s="298">
        <f t="shared" si="48"/>
        <v>0</v>
      </c>
      <c r="BH81" s="298">
        <f t="shared" si="48"/>
        <v>0</v>
      </c>
      <c r="BI81" s="298">
        <f t="shared" si="48"/>
        <v>0</v>
      </c>
      <c r="BJ81" s="298">
        <f t="shared" si="48"/>
        <v>0</v>
      </c>
      <c r="BK81" s="298">
        <f t="shared" si="48"/>
        <v>0</v>
      </c>
      <c r="BL81" s="298">
        <f t="shared" si="48"/>
        <v>0</v>
      </c>
      <c r="BM81" s="298">
        <f t="shared" si="48"/>
        <v>0</v>
      </c>
      <c r="BN81" s="298">
        <f t="shared" si="48"/>
        <v>0</v>
      </c>
      <c r="BO81" s="298">
        <f t="shared" si="48"/>
        <v>0</v>
      </c>
      <c r="BP81" s="298">
        <f t="shared" si="48"/>
        <v>0</v>
      </c>
      <c r="BQ81" s="298">
        <f t="shared" si="48"/>
        <v>0</v>
      </c>
      <c r="BR81" s="298">
        <f t="shared" si="48"/>
        <v>0</v>
      </c>
      <c r="BS81" s="298">
        <f t="shared" si="48"/>
        <v>0</v>
      </c>
      <c r="BT81" s="298">
        <f t="shared" si="48"/>
        <v>0</v>
      </c>
      <c r="BU81" s="298">
        <f t="shared" si="48"/>
        <v>0</v>
      </c>
      <c r="BV81" s="298">
        <f t="shared" si="48"/>
        <v>0</v>
      </c>
      <c r="BW81" s="298">
        <f t="shared" si="48"/>
        <v>0</v>
      </c>
      <c r="BX81" s="298">
        <f t="shared" si="48"/>
        <v>0</v>
      </c>
      <c r="BY81" s="538">
        <f>BZ74</f>
        <v>-118889165.33333334</v>
      </c>
      <c r="BZ81" s="570"/>
      <c r="CA81" s="229"/>
      <c r="CB81" s="229"/>
      <c r="CC81" s="229"/>
      <c r="CD81" s="229"/>
      <c r="CE81" s="229"/>
    </row>
    <row r="82" spans="2:83" ht="15.95">
      <c r="B82" s="540" t="s">
        <v>256</v>
      </c>
      <c r="C82" s="563"/>
      <c r="D82" s="297"/>
      <c r="E82" s="298">
        <f>E81</f>
        <v>0</v>
      </c>
      <c r="F82" s="298">
        <f t="shared" ref="F82:BX82" si="49">E82+F81</f>
        <v>0</v>
      </c>
      <c r="G82" s="298">
        <f t="shared" si="49"/>
        <v>0</v>
      </c>
      <c r="H82" s="298">
        <f t="shared" si="49"/>
        <v>0</v>
      </c>
      <c r="I82" s="298">
        <f t="shared" si="49"/>
        <v>-87324</v>
      </c>
      <c r="J82" s="298">
        <f t="shared" si="49"/>
        <v>-187324</v>
      </c>
      <c r="K82" s="298">
        <f t="shared" si="49"/>
        <v>-187924</v>
      </c>
      <c r="L82" s="298">
        <f t="shared" si="49"/>
        <v>-5212045.0999999996</v>
      </c>
      <c r="M82" s="298">
        <f t="shared" si="49"/>
        <v>-5212652.54</v>
      </c>
      <c r="N82" s="298">
        <f t="shared" si="49"/>
        <v>-5224873.54</v>
      </c>
      <c r="O82" s="298">
        <f t="shared" si="49"/>
        <v>-5250961.4325619834</v>
      </c>
      <c r="P82" s="298">
        <f t="shared" si="49"/>
        <v>-5282360.1185123967</v>
      </c>
      <c r="Q82" s="298">
        <f t="shared" si="49"/>
        <v>-7674982.5317355376</v>
      </c>
      <c r="R82" s="298">
        <f t="shared" si="49"/>
        <v>-7905775.5961157028</v>
      </c>
      <c r="S82" s="298">
        <f t="shared" si="49"/>
        <v>-9125735.5849776864</v>
      </c>
      <c r="T82" s="298">
        <f t="shared" si="49"/>
        <v>-9295872.2175396699</v>
      </c>
      <c r="U82" s="298">
        <f t="shared" si="49"/>
        <v>-51054318.85010165</v>
      </c>
      <c r="V82" s="298">
        <f t="shared" si="49"/>
        <v>-52125213.732663631</v>
      </c>
      <c r="W82" s="298">
        <f t="shared" si="49"/>
        <v>-52295350.365225613</v>
      </c>
      <c r="X82" s="298">
        <f t="shared" si="49"/>
        <v>-53165486.997787595</v>
      </c>
      <c r="Y82" s="298">
        <f t="shared" si="49"/>
        <v>-53335623.630349576</v>
      </c>
      <c r="Z82" s="298">
        <f t="shared" si="49"/>
        <v>-54405759.262911558</v>
      </c>
      <c r="AA82" s="298">
        <f t="shared" si="49"/>
        <v>-54575894.89547354</v>
      </c>
      <c r="AB82" s="298">
        <f t="shared" si="49"/>
        <v>-55283530.528035522</v>
      </c>
      <c r="AC82" s="298">
        <f t="shared" si="49"/>
        <v>-56010139.650597505</v>
      </c>
      <c r="AD82" s="298">
        <f t="shared" si="49"/>
        <v>-56199248.773159489</v>
      </c>
      <c r="AE82" s="298">
        <f t="shared" si="49"/>
        <v>-56388357.895721473</v>
      </c>
      <c r="AF82" s="298">
        <f t="shared" si="49"/>
        <v>-56577467.018283457</v>
      </c>
      <c r="AG82" s="298">
        <f t="shared" si="49"/>
        <v>-64529236.675845444</v>
      </c>
      <c r="AH82" s="298">
        <f t="shared" si="49"/>
        <v>-72628992.393407434</v>
      </c>
      <c r="AI82" s="298">
        <f t="shared" si="49"/>
        <v>-80902618.147742152</v>
      </c>
      <c r="AJ82" s="298">
        <f t="shared" si="49"/>
        <v>-91018541.531970799</v>
      </c>
      <c r="AK82" s="298">
        <f t="shared" si="49"/>
        <v>-101209131.58286612</v>
      </c>
      <c r="AL82" s="298">
        <f t="shared" si="49"/>
        <v>-111474388.30042811</v>
      </c>
      <c r="AM82" s="298">
        <f t="shared" si="49"/>
        <v>-121814311.68465675</v>
      </c>
      <c r="AN82" s="298">
        <f t="shared" si="49"/>
        <v>-132067115.0688854</v>
      </c>
      <c r="AO82" s="298">
        <f t="shared" si="49"/>
        <v>-235811920.49174255</v>
      </c>
      <c r="AP82" s="298">
        <f t="shared" si="49"/>
        <v>-235811920.49174255</v>
      </c>
      <c r="AQ82" s="298">
        <f t="shared" si="49"/>
        <v>-235811920.49174255</v>
      </c>
      <c r="AR82" s="298">
        <f t="shared" si="49"/>
        <v>-235811920.49174255</v>
      </c>
      <c r="AS82" s="298">
        <f t="shared" si="49"/>
        <v>-235811920.49174255</v>
      </c>
      <c r="AT82" s="298">
        <f t="shared" si="49"/>
        <v>-235811920.49174255</v>
      </c>
      <c r="AU82" s="298">
        <f t="shared" si="49"/>
        <v>-235811920.49174255</v>
      </c>
      <c r="AV82" s="298">
        <f t="shared" si="49"/>
        <v>-235811920.49174255</v>
      </c>
      <c r="AW82" s="298">
        <f t="shared" si="49"/>
        <v>-235811920.49174255</v>
      </c>
      <c r="AX82" s="298">
        <f t="shared" si="49"/>
        <v>-235811920.49174255</v>
      </c>
      <c r="AY82" s="298">
        <f t="shared" si="49"/>
        <v>-235811920.49174255</v>
      </c>
      <c r="AZ82" s="298">
        <f t="shared" si="49"/>
        <v>-235811920.49174255</v>
      </c>
      <c r="BA82" s="298">
        <f t="shared" si="49"/>
        <v>-235811920.49174255</v>
      </c>
      <c r="BB82" s="298">
        <f t="shared" si="49"/>
        <v>-235811920.49174255</v>
      </c>
      <c r="BC82" s="298">
        <f t="shared" si="49"/>
        <v>-235811920.49174255</v>
      </c>
      <c r="BD82" s="298">
        <f t="shared" si="49"/>
        <v>-235811920.49174255</v>
      </c>
      <c r="BE82" s="298">
        <f t="shared" si="49"/>
        <v>-235811920.49174255</v>
      </c>
      <c r="BF82" s="298">
        <f t="shared" si="49"/>
        <v>-235811920.49174255</v>
      </c>
      <c r="BG82" s="298">
        <f t="shared" si="49"/>
        <v>-235811920.49174255</v>
      </c>
      <c r="BH82" s="298">
        <f t="shared" si="49"/>
        <v>-235811920.49174255</v>
      </c>
      <c r="BI82" s="298">
        <f t="shared" si="49"/>
        <v>-235811920.49174255</v>
      </c>
      <c r="BJ82" s="298">
        <f t="shared" si="49"/>
        <v>-235811920.49174255</v>
      </c>
      <c r="BK82" s="298">
        <f t="shared" si="49"/>
        <v>-235811920.49174255</v>
      </c>
      <c r="BL82" s="298">
        <f t="shared" si="49"/>
        <v>-235811920.49174255</v>
      </c>
      <c r="BM82" s="298">
        <f t="shared" si="49"/>
        <v>-235811920.49174255</v>
      </c>
      <c r="BN82" s="298">
        <f t="shared" si="49"/>
        <v>-235811920.49174255</v>
      </c>
      <c r="BO82" s="298">
        <f t="shared" si="49"/>
        <v>-235811920.49174255</v>
      </c>
      <c r="BP82" s="298">
        <f t="shared" si="49"/>
        <v>-235811920.49174255</v>
      </c>
      <c r="BQ82" s="298">
        <f t="shared" si="49"/>
        <v>-235811920.49174255</v>
      </c>
      <c r="BR82" s="298">
        <f t="shared" si="49"/>
        <v>-235811920.49174255</v>
      </c>
      <c r="BS82" s="298">
        <f t="shared" si="49"/>
        <v>-235811920.49174255</v>
      </c>
      <c r="BT82" s="298">
        <f t="shared" si="49"/>
        <v>-235811920.49174255</v>
      </c>
      <c r="BU82" s="298">
        <f t="shared" si="49"/>
        <v>-235811920.49174255</v>
      </c>
      <c r="BV82" s="298">
        <f t="shared" si="49"/>
        <v>-235811920.49174255</v>
      </c>
      <c r="BW82" s="298">
        <f t="shared" si="49"/>
        <v>-235811920.49174255</v>
      </c>
      <c r="BX82" s="298">
        <f t="shared" si="49"/>
        <v>-235811920.49174255</v>
      </c>
      <c r="BY82" s="538">
        <f>BY73+BY81</f>
        <v>-235811920.49174255</v>
      </c>
      <c r="BZ82" s="570"/>
      <c r="CA82" s="229"/>
      <c r="CB82" s="229"/>
      <c r="CC82" s="229"/>
      <c r="CD82" s="229"/>
      <c r="CE82" s="229"/>
    </row>
    <row r="83" spans="2:83" ht="15.95">
      <c r="B83" s="541" t="s">
        <v>257</v>
      </c>
      <c r="C83" s="563"/>
      <c r="D83" s="299"/>
      <c r="E83" s="300">
        <f t="shared" ref="E83:BX83" si="50">E17+E81</f>
        <v>0</v>
      </c>
      <c r="F83" s="300">
        <f t="shared" si="50"/>
        <v>0</v>
      </c>
      <c r="G83" s="300">
        <f t="shared" si="50"/>
        <v>0</v>
      </c>
      <c r="H83" s="300">
        <f t="shared" si="50"/>
        <v>0</v>
      </c>
      <c r="I83" s="300">
        <f t="shared" si="50"/>
        <v>0</v>
      </c>
      <c r="J83" s="300">
        <f t="shared" si="50"/>
        <v>0</v>
      </c>
      <c r="K83" s="300">
        <f t="shared" si="50"/>
        <v>-600</v>
      </c>
      <c r="L83" s="300">
        <f t="shared" si="50"/>
        <v>378.90000000037253</v>
      </c>
      <c r="M83" s="301">
        <f t="shared" si="50"/>
        <v>392.55999999999995</v>
      </c>
      <c r="N83" s="300">
        <f t="shared" si="50"/>
        <v>65343</v>
      </c>
      <c r="O83" s="301">
        <f t="shared" si="50"/>
        <v>-370</v>
      </c>
      <c r="P83" s="301">
        <f t="shared" si="50"/>
        <v>3956209</v>
      </c>
      <c r="Q83" s="301">
        <f t="shared" si="50"/>
        <v>-2468128</v>
      </c>
      <c r="R83" s="301">
        <f t="shared" si="50"/>
        <v>-268627.7279</v>
      </c>
      <c r="S83" s="301">
        <f t="shared" si="50"/>
        <v>-768623.78170000017</v>
      </c>
      <c r="T83" s="301">
        <f t="shared" si="50"/>
        <v>-167820.66188016531</v>
      </c>
      <c r="U83" s="300">
        <f t="shared" si="50"/>
        <v>2116753.3674380183</v>
      </c>
      <c r="V83" s="300">
        <f t="shared" si="50"/>
        <v>-1239054.1150619835</v>
      </c>
      <c r="W83" s="300">
        <f t="shared" si="50"/>
        <v>-67591.532561983477</v>
      </c>
      <c r="X83" s="301">
        <f t="shared" si="50"/>
        <v>-348977.40006198356</v>
      </c>
      <c r="Y83" s="301">
        <f t="shared" si="50"/>
        <v>-170136.63256198348</v>
      </c>
      <c r="Z83" s="301">
        <f t="shared" si="50"/>
        <v>387864.36743801646</v>
      </c>
      <c r="AA83" s="301">
        <f t="shared" si="50"/>
        <v>-170135.63256198348</v>
      </c>
      <c r="AB83" s="301">
        <f t="shared" si="50"/>
        <v>-131510.63256198354</v>
      </c>
      <c r="AC83" s="300">
        <f t="shared" si="50"/>
        <v>406531.44453801634</v>
      </c>
      <c r="AD83" s="301">
        <f t="shared" si="50"/>
        <v>-80218.555461983458</v>
      </c>
      <c r="AE83" s="301">
        <f t="shared" si="50"/>
        <v>-76234.122561983473</v>
      </c>
      <c r="AF83" s="301">
        <f t="shared" si="50"/>
        <v>-189109.12256198347</v>
      </c>
      <c r="AG83" s="301">
        <f t="shared" si="50"/>
        <v>879103.5424380172</v>
      </c>
      <c r="AH83" s="301">
        <f t="shared" si="50"/>
        <v>1100040.409838018</v>
      </c>
      <c r="AI83" s="301">
        <f t="shared" si="50"/>
        <v>1585297.1730652796</v>
      </c>
      <c r="AJ83" s="301">
        <f t="shared" si="50"/>
        <v>1198743.2824380156</v>
      </c>
      <c r="AK83" s="301">
        <f t="shared" si="50"/>
        <v>1198743.2824380156</v>
      </c>
      <c r="AL83" s="301">
        <f t="shared" si="50"/>
        <v>1198743.2824380156</v>
      </c>
      <c r="AM83" s="301">
        <f t="shared" si="50"/>
        <v>1198743.2824380156</v>
      </c>
      <c r="AN83" s="301">
        <f t="shared" si="50"/>
        <v>1554118.4824380148</v>
      </c>
      <c r="AO83" s="300">
        <f t="shared" si="50"/>
        <v>10113287.112857118</v>
      </c>
      <c r="AP83" s="301">
        <f t="shared" si="50"/>
        <v>0</v>
      </c>
      <c r="AQ83" s="301">
        <f t="shared" si="50"/>
        <v>0</v>
      </c>
      <c r="AR83" s="301">
        <f t="shared" si="50"/>
        <v>0</v>
      </c>
      <c r="AS83" s="300">
        <f t="shared" si="50"/>
        <v>0</v>
      </c>
      <c r="AT83" s="300">
        <f t="shared" si="50"/>
        <v>0</v>
      </c>
      <c r="AU83" s="300">
        <f t="shared" si="50"/>
        <v>0</v>
      </c>
      <c r="AV83" s="300">
        <f t="shared" si="50"/>
        <v>0</v>
      </c>
      <c r="AW83" s="300">
        <f t="shared" si="50"/>
        <v>0</v>
      </c>
      <c r="AX83" s="300">
        <f t="shared" si="50"/>
        <v>0</v>
      </c>
      <c r="AY83" s="300">
        <f t="shared" si="50"/>
        <v>0</v>
      </c>
      <c r="AZ83" s="300">
        <f t="shared" si="50"/>
        <v>0</v>
      </c>
      <c r="BA83" s="300">
        <f t="shared" si="50"/>
        <v>0</v>
      </c>
      <c r="BB83" s="300">
        <f t="shared" si="50"/>
        <v>0</v>
      </c>
      <c r="BC83" s="300">
        <f t="shared" si="50"/>
        <v>0</v>
      </c>
      <c r="BD83" s="300">
        <f t="shared" si="50"/>
        <v>0</v>
      </c>
      <c r="BE83" s="300">
        <f t="shared" si="50"/>
        <v>0</v>
      </c>
      <c r="BF83" s="300">
        <f t="shared" si="50"/>
        <v>0</v>
      </c>
      <c r="BG83" s="300">
        <f t="shared" si="50"/>
        <v>0</v>
      </c>
      <c r="BH83" s="300">
        <f t="shared" si="50"/>
        <v>0</v>
      </c>
      <c r="BI83" s="300">
        <f t="shared" si="50"/>
        <v>0</v>
      </c>
      <c r="BJ83" s="300">
        <f t="shared" si="50"/>
        <v>0</v>
      </c>
      <c r="BK83" s="300">
        <f t="shared" si="50"/>
        <v>0</v>
      </c>
      <c r="BL83" s="302">
        <f t="shared" si="50"/>
        <v>0</v>
      </c>
      <c r="BM83" s="302">
        <f t="shared" si="50"/>
        <v>0</v>
      </c>
      <c r="BN83" s="302">
        <f t="shared" si="50"/>
        <v>0</v>
      </c>
      <c r="BO83" s="302">
        <f t="shared" si="50"/>
        <v>0</v>
      </c>
      <c r="BP83" s="302">
        <f t="shared" si="50"/>
        <v>0</v>
      </c>
      <c r="BQ83" s="302">
        <f t="shared" si="50"/>
        <v>0</v>
      </c>
      <c r="BR83" s="302">
        <f t="shared" si="50"/>
        <v>0</v>
      </c>
      <c r="BS83" s="302">
        <f t="shared" si="50"/>
        <v>0</v>
      </c>
      <c r="BT83" s="302">
        <f t="shared" si="50"/>
        <v>0</v>
      </c>
      <c r="BU83" s="302">
        <f t="shared" si="50"/>
        <v>0</v>
      </c>
      <c r="BV83" s="302">
        <f t="shared" si="50"/>
        <v>0</v>
      </c>
      <c r="BW83" s="302">
        <f t="shared" si="50"/>
        <v>0</v>
      </c>
      <c r="BX83" s="302">
        <f t="shared" si="50"/>
        <v>0</v>
      </c>
      <c r="BY83" s="539">
        <f>BY17+BY73+BY81</f>
        <v>20813154.572364569</v>
      </c>
      <c r="BZ83" s="572"/>
      <c r="CA83" s="229"/>
      <c r="CB83" s="229"/>
      <c r="CC83" s="229"/>
      <c r="CD83" s="229"/>
      <c r="CE83" s="229"/>
    </row>
    <row r="84" spans="2:83">
      <c r="B84" s="542" t="s">
        <v>258</v>
      </c>
      <c r="C84" s="563"/>
      <c r="D84" s="303"/>
      <c r="E84" s="304">
        <f>E83</f>
        <v>0</v>
      </c>
      <c r="F84" s="304">
        <f t="shared" ref="F84:BX84" si="51">F83+E84</f>
        <v>0</v>
      </c>
      <c r="G84" s="304">
        <f t="shared" si="51"/>
        <v>0</v>
      </c>
      <c r="H84" s="304">
        <f t="shared" si="51"/>
        <v>0</v>
      </c>
      <c r="I84" s="304">
        <f t="shared" si="51"/>
        <v>0</v>
      </c>
      <c r="J84" s="304">
        <f t="shared" si="51"/>
        <v>0</v>
      </c>
      <c r="K84" s="304">
        <f t="shared" si="51"/>
        <v>-600</v>
      </c>
      <c r="L84" s="304">
        <f t="shared" si="51"/>
        <v>-221.09999999962747</v>
      </c>
      <c r="M84" s="304">
        <f t="shared" si="51"/>
        <v>171.46000000037247</v>
      </c>
      <c r="N84" s="304">
        <f t="shared" si="51"/>
        <v>65514.46000000037</v>
      </c>
      <c r="O84" s="304">
        <f t="shared" si="51"/>
        <v>65144.46000000037</v>
      </c>
      <c r="P84" s="304">
        <f t="shared" si="51"/>
        <v>4021353.4600000004</v>
      </c>
      <c r="Q84" s="304">
        <f t="shared" si="51"/>
        <v>1553225.4600000004</v>
      </c>
      <c r="R84" s="304">
        <f t="shared" si="51"/>
        <v>1284597.7321000004</v>
      </c>
      <c r="S84" s="304">
        <f t="shared" si="51"/>
        <v>515973.95040000021</v>
      </c>
      <c r="T84" s="304">
        <f t="shared" si="51"/>
        <v>348153.28851983487</v>
      </c>
      <c r="U84" s="304">
        <f t="shared" si="51"/>
        <v>2464906.6559578534</v>
      </c>
      <c r="V84" s="304">
        <f t="shared" si="51"/>
        <v>1225852.54089587</v>
      </c>
      <c r="W84" s="304">
        <f t="shared" si="51"/>
        <v>1158261.0083338865</v>
      </c>
      <c r="X84" s="304">
        <f t="shared" si="51"/>
        <v>809283.60827190289</v>
      </c>
      <c r="Y84" s="304">
        <f t="shared" si="51"/>
        <v>639146.97570991935</v>
      </c>
      <c r="Z84" s="304">
        <f t="shared" si="51"/>
        <v>1027011.3431479358</v>
      </c>
      <c r="AA84" s="304">
        <f t="shared" si="51"/>
        <v>856875.71058595227</v>
      </c>
      <c r="AB84" s="304">
        <f t="shared" si="51"/>
        <v>725365.07802396873</v>
      </c>
      <c r="AC84" s="304">
        <f t="shared" si="51"/>
        <v>1131896.5225619851</v>
      </c>
      <c r="AD84" s="304">
        <f t="shared" si="51"/>
        <v>1051677.9671000016</v>
      </c>
      <c r="AE84" s="304">
        <f t="shared" si="51"/>
        <v>975443.84453801811</v>
      </c>
      <c r="AF84" s="304">
        <f t="shared" si="51"/>
        <v>786334.72197603458</v>
      </c>
      <c r="AG84" s="304">
        <f t="shared" si="51"/>
        <v>1665438.2644140518</v>
      </c>
      <c r="AH84" s="304">
        <f t="shared" si="51"/>
        <v>2765478.6742520696</v>
      </c>
      <c r="AI84" s="304">
        <f t="shared" si="51"/>
        <v>4350775.8473173492</v>
      </c>
      <c r="AJ84" s="304">
        <f t="shared" si="51"/>
        <v>5549519.1297553647</v>
      </c>
      <c r="AK84" s="304">
        <f t="shared" si="51"/>
        <v>6748262.4121933803</v>
      </c>
      <c r="AL84" s="304">
        <f t="shared" si="51"/>
        <v>7947005.6946313959</v>
      </c>
      <c r="AM84" s="304">
        <f t="shared" si="51"/>
        <v>9145748.9770694114</v>
      </c>
      <c r="AN84" s="304">
        <f t="shared" si="51"/>
        <v>10699867.459507426</v>
      </c>
      <c r="AO84" s="304">
        <f t="shared" si="51"/>
        <v>20813154.572364546</v>
      </c>
      <c r="AP84" s="304">
        <f t="shared" si="51"/>
        <v>20813154.572364546</v>
      </c>
      <c r="AQ84" s="304">
        <f t="shared" si="51"/>
        <v>20813154.572364546</v>
      </c>
      <c r="AR84" s="304">
        <f t="shared" si="51"/>
        <v>20813154.572364546</v>
      </c>
      <c r="AS84" s="304">
        <f t="shared" si="51"/>
        <v>20813154.572364546</v>
      </c>
      <c r="AT84" s="304">
        <f t="shared" si="51"/>
        <v>20813154.572364546</v>
      </c>
      <c r="AU84" s="304">
        <f t="shared" si="51"/>
        <v>20813154.572364546</v>
      </c>
      <c r="AV84" s="304">
        <f t="shared" si="51"/>
        <v>20813154.572364546</v>
      </c>
      <c r="AW84" s="304">
        <f t="shared" si="51"/>
        <v>20813154.572364546</v>
      </c>
      <c r="AX84" s="304">
        <f t="shared" si="51"/>
        <v>20813154.572364546</v>
      </c>
      <c r="AY84" s="304">
        <f t="shared" si="51"/>
        <v>20813154.572364546</v>
      </c>
      <c r="AZ84" s="304">
        <f t="shared" si="51"/>
        <v>20813154.572364546</v>
      </c>
      <c r="BA84" s="304">
        <f t="shared" si="51"/>
        <v>20813154.572364546</v>
      </c>
      <c r="BB84" s="304">
        <f t="shared" si="51"/>
        <v>20813154.572364546</v>
      </c>
      <c r="BC84" s="304">
        <f t="shared" si="51"/>
        <v>20813154.572364546</v>
      </c>
      <c r="BD84" s="304">
        <f t="shared" si="51"/>
        <v>20813154.572364546</v>
      </c>
      <c r="BE84" s="304">
        <f t="shared" si="51"/>
        <v>20813154.572364546</v>
      </c>
      <c r="BF84" s="304">
        <f t="shared" si="51"/>
        <v>20813154.572364546</v>
      </c>
      <c r="BG84" s="304">
        <f t="shared" si="51"/>
        <v>20813154.572364546</v>
      </c>
      <c r="BH84" s="304">
        <f t="shared" si="51"/>
        <v>20813154.572364546</v>
      </c>
      <c r="BI84" s="304">
        <f t="shared" si="51"/>
        <v>20813154.572364546</v>
      </c>
      <c r="BJ84" s="304">
        <f t="shared" si="51"/>
        <v>20813154.572364546</v>
      </c>
      <c r="BK84" s="304">
        <f t="shared" si="51"/>
        <v>20813154.572364546</v>
      </c>
      <c r="BL84" s="304">
        <f t="shared" si="51"/>
        <v>20813154.572364546</v>
      </c>
      <c r="BM84" s="304">
        <f t="shared" si="51"/>
        <v>20813154.572364546</v>
      </c>
      <c r="BN84" s="304">
        <f t="shared" si="51"/>
        <v>20813154.572364546</v>
      </c>
      <c r="BO84" s="304">
        <f t="shared" si="51"/>
        <v>20813154.572364546</v>
      </c>
      <c r="BP84" s="304">
        <f t="shared" si="51"/>
        <v>20813154.572364546</v>
      </c>
      <c r="BQ84" s="304">
        <f t="shared" si="51"/>
        <v>20813154.572364546</v>
      </c>
      <c r="BR84" s="304">
        <f t="shared" si="51"/>
        <v>20813154.572364546</v>
      </c>
      <c r="BS84" s="304">
        <f t="shared" si="51"/>
        <v>20813154.572364546</v>
      </c>
      <c r="BT84" s="304">
        <f t="shared" si="51"/>
        <v>20813154.572364546</v>
      </c>
      <c r="BU84" s="304">
        <f t="shared" si="51"/>
        <v>20813154.572364546</v>
      </c>
      <c r="BV84" s="304">
        <f t="shared" si="51"/>
        <v>20813154.572364546</v>
      </c>
      <c r="BW84" s="304">
        <f t="shared" si="51"/>
        <v>20813154.572364546</v>
      </c>
      <c r="BX84" s="304">
        <f t="shared" si="51"/>
        <v>20813154.572364546</v>
      </c>
      <c r="BY84" s="229"/>
      <c r="BZ84" s="229"/>
      <c r="CA84" s="229"/>
      <c r="CB84" s="229"/>
      <c r="CC84" s="229"/>
      <c r="CD84" s="229"/>
      <c r="CE84" s="229"/>
    </row>
    <row r="85" spans="2:83">
      <c r="B85" s="229"/>
      <c r="C85" s="229"/>
      <c r="D85" s="229"/>
      <c r="E85" s="229"/>
      <c r="F85" s="229"/>
      <c r="G85" s="229"/>
      <c r="H85" s="229"/>
      <c r="I85" s="229"/>
      <c r="J85" s="229"/>
      <c r="K85" s="229"/>
      <c r="L85" s="229"/>
      <c r="M85" s="229"/>
      <c r="N85" s="229">
        <f>N82+N14+N15</f>
        <v>-5227309.54</v>
      </c>
      <c r="O85" s="229"/>
      <c r="P85" s="229"/>
      <c r="Q85" s="229"/>
      <c r="R85" s="229"/>
      <c r="S85" s="229"/>
      <c r="T85" s="229"/>
      <c r="U85" s="229"/>
      <c r="V85" s="229"/>
      <c r="W85" s="229"/>
      <c r="X85" s="229"/>
      <c r="Y85" s="229"/>
      <c r="Z85" s="229"/>
      <c r="AA85" s="229"/>
      <c r="AB85" s="229"/>
      <c r="AC85" s="229"/>
      <c r="AD85" s="229"/>
      <c r="AE85" s="229"/>
      <c r="AF85" s="229"/>
      <c r="AG85" s="229"/>
      <c r="AH85" s="229"/>
      <c r="AI85" s="229"/>
      <c r="AJ85" s="229"/>
      <c r="AK85" s="229"/>
      <c r="AL85" s="229"/>
      <c r="AM85" s="229"/>
      <c r="AN85" s="229"/>
      <c r="AO85" s="229"/>
      <c r="AP85" s="229"/>
      <c r="AQ85" s="229"/>
      <c r="AR85" s="229"/>
      <c r="AS85" s="229"/>
      <c r="AT85" s="229"/>
      <c r="AU85" s="229"/>
      <c r="AV85" s="229"/>
      <c r="AW85" s="229"/>
      <c r="AX85" s="229"/>
      <c r="AY85" s="229"/>
      <c r="AZ85" s="229"/>
      <c r="BA85" s="229"/>
      <c r="BB85" s="229"/>
      <c r="BC85" s="229"/>
      <c r="BD85" s="229"/>
      <c r="BE85" s="229"/>
      <c r="BF85" s="229"/>
      <c r="BG85" s="229"/>
      <c r="BH85" s="229"/>
      <c r="BI85" s="229"/>
      <c r="BJ85" s="229"/>
      <c r="BK85" s="229"/>
      <c r="BL85" s="229"/>
      <c r="BM85" s="229"/>
      <c r="BN85" s="229"/>
      <c r="BO85" s="229"/>
      <c r="BP85" s="229"/>
      <c r="BQ85" s="229"/>
      <c r="BR85" s="229"/>
      <c r="BS85" s="229"/>
      <c r="BT85" s="229"/>
      <c r="BU85" s="229"/>
      <c r="BV85" s="229"/>
      <c r="BW85" s="229"/>
      <c r="BX85" s="229"/>
      <c r="BY85" s="305">
        <f>AI84-AI55-AI56-SUM(AG12:AI12)-SUM(AG63:AI63)</f>
        <v>4350775.8473173492</v>
      </c>
      <c r="BZ85" s="229"/>
      <c r="CA85" s="229"/>
      <c r="CB85" s="229"/>
      <c r="CC85" s="229"/>
      <c r="CD85" s="229"/>
      <c r="CE85" s="229"/>
    </row>
    <row r="86" spans="2:83">
      <c r="B86" s="229"/>
      <c r="C86" s="229"/>
      <c r="D86" s="229"/>
      <c r="E86" s="229"/>
      <c r="F86" s="229"/>
      <c r="G86" s="22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29"/>
      <c r="AA86" s="229"/>
      <c r="AB86" s="229"/>
      <c r="AC86" s="229"/>
      <c r="AD86" s="229"/>
      <c r="AE86" s="229"/>
      <c r="AF86" s="229"/>
      <c r="AG86" s="229"/>
      <c r="AH86" s="229"/>
      <c r="AI86" s="229"/>
      <c r="AJ86" s="229"/>
      <c r="AK86" s="229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29"/>
      <c r="BH86" s="229"/>
      <c r="BI86" s="229"/>
      <c r="BJ86" s="229"/>
      <c r="BK86" s="229"/>
      <c r="BL86" s="229"/>
      <c r="BM86" s="229"/>
      <c r="BN86" s="229"/>
      <c r="BO86" s="229"/>
      <c r="BP86" s="229"/>
      <c r="BQ86" s="229"/>
      <c r="BR86" s="229"/>
      <c r="BS86" s="229"/>
      <c r="BT86" s="229"/>
      <c r="BU86" s="229"/>
      <c r="BV86" s="229"/>
      <c r="BW86" s="229"/>
      <c r="BX86" s="229"/>
      <c r="BY86" s="305"/>
      <c r="BZ86" s="229">
        <f>AI84-SUM(AG12:AI12)-SUM(AI55:AI56)-SUM(AG63:AI63)</f>
        <v>4350775.8473173492</v>
      </c>
      <c r="CA86" s="229"/>
      <c r="CB86" s="229"/>
      <c r="CC86" s="229"/>
      <c r="CD86" s="229"/>
      <c r="CE86" s="229"/>
    </row>
    <row r="87" spans="2:83" hidden="1">
      <c r="B87" s="229"/>
      <c r="C87" s="229"/>
      <c r="D87" s="306" t="s">
        <v>259</v>
      </c>
      <c r="E87" s="306"/>
      <c r="F87" s="306"/>
      <c r="G87" s="306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7"/>
      <c r="W87" s="307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  <c r="AK87" s="307"/>
      <c r="AL87" s="307"/>
      <c r="AM87" s="307"/>
      <c r="AN87" s="307"/>
      <c r="AO87" s="307"/>
      <c r="AP87" s="307"/>
      <c r="AQ87" s="307"/>
      <c r="AR87" s="307"/>
      <c r="AS87" s="307"/>
      <c r="AT87" s="307"/>
      <c r="AU87" s="307"/>
      <c r="AV87" s="307"/>
      <c r="AW87" s="307"/>
      <c r="AX87" s="307"/>
      <c r="AY87" s="307"/>
      <c r="AZ87" s="307"/>
      <c r="BA87" s="307"/>
      <c r="BB87" s="307"/>
      <c r="BC87" s="307"/>
      <c r="BD87" s="307"/>
      <c r="BE87" s="307"/>
      <c r="BF87" s="307"/>
      <c r="BG87" s="307"/>
      <c r="BH87" s="307"/>
      <c r="BI87" s="307"/>
      <c r="BJ87" s="307"/>
      <c r="BK87" s="307"/>
      <c r="BL87" s="307"/>
      <c r="BM87" s="307"/>
      <c r="BN87" s="307"/>
      <c r="BO87" s="307"/>
      <c r="BP87" s="307"/>
      <c r="BQ87" s="307"/>
      <c r="BR87" s="307"/>
      <c r="BS87" s="307"/>
      <c r="BT87" s="307"/>
      <c r="BU87" s="307"/>
      <c r="BV87" s="307"/>
      <c r="BW87" s="307"/>
      <c r="BX87" s="307"/>
      <c r="BY87" s="305"/>
      <c r="BZ87" s="229"/>
      <c r="CA87" s="229"/>
      <c r="CB87" s="229"/>
      <c r="CC87" s="229"/>
      <c r="CD87" s="229"/>
      <c r="CE87" s="229"/>
    </row>
    <row r="88" spans="2:83" hidden="1">
      <c r="B88" s="229"/>
      <c r="C88" s="229"/>
      <c r="D88" s="229"/>
      <c r="E88" s="229"/>
      <c r="F88" s="229"/>
      <c r="G88" s="229"/>
      <c r="H88" s="229"/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  <c r="U88" s="229"/>
      <c r="V88" s="229"/>
      <c r="W88" s="229"/>
      <c r="X88" s="229"/>
      <c r="Y88" s="229"/>
      <c r="Z88" s="229"/>
      <c r="AA88" s="229"/>
      <c r="AB88" s="229"/>
      <c r="AC88" s="229"/>
      <c r="AD88" s="229"/>
      <c r="AE88" s="229"/>
      <c r="AF88" s="229"/>
      <c r="AG88" s="229"/>
      <c r="AH88" s="229"/>
      <c r="AI88" s="229"/>
      <c r="AJ88" s="229"/>
      <c r="AK88" s="229"/>
      <c r="AL88" s="229"/>
      <c r="AM88" s="229"/>
      <c r="AN88" s="229"/>
      <c r="AO88" s="229"/>
      <c r="AP88" s="229"/>
      <c r="AQ88" s="229"/>
      <c r="AR88" s="229"/>
      <c r="AS88" s="229"/>
      <c r="AT88" s="229"/>
      <c r="AU88" s="229"/>
      <c r="AV88" s="229"/>
      <c r="AW88" s="229"/>
      <c r="AX88" s="229"/>
      <c r="AY88" s="229"/>
      <c r="AZ88" s="229"/>
      <c r="BA88" s="229"/>
      <c r="BB88" s="229"/>
      <c r="BC88" s="229"/>
      <c r="BD88" s="229"/>
      <c r="BE88" s="229"/>
      <c r="BF88" s="229"/>
      <c r="BG88" s="229"/>
      <c r="BH88" s="229"/>
      <c r="BI88" s="229"/>
      <c r="BJ88" s="229"/>
      <c r="BK88" s="229"/>
      <c r="BL88" s="229"/>
      <c r="BM88" s="229"/>
      <c r="BN88" s="229"/>
      <c r="BO88" s="229"/>
      <c r="BP88" s="229"/>
      <c r="BQ88" s="229"/>
      <c r="BR88" s="229"/>
      <c r="BS88" s="229"/>
      <c r="BT88" s="229"/>
      <c r="BU88" s="229"/>
      <c r="BV88" s="229"/>
      <c r="BW88" s="229"/>
      <c r="BX88" s="229"/>
      <c r="BY88" s="305"/>
      <c r="BZ88" s="229"/>
      <c r="CA88" s="229"/>
      <c r="CB88" s="229"/>
      <c r="CC88" s="229"/>
      <c r="CD88" s="229"/>
      <c r="CE88" s="229"/>
    </row>
    <row r="89" spans="2:83" hidden="1">
      <c r="B89" s="229"/>
      <c r="C89" s="308" t="s">
        <v>260</v>
      </c>
      <c r="D89" s="309"/>
      <c r="E89" s="310">
        <f>E97+E113+E135+E152</f>
        <v>0</v>
      </c>
      <c r="F89" s="310">
        <f t="shared" ref="F89:H89" si="52">F97+F152</f>
        <v>0</v>
      </c>
      <c r="G89" s="310">
        <f t="shared" si="52"/>
        <v>0</v>
      </c>
      <c r="H89" s="310">
        <f t="shared" si="52"/>
        <v>0</v>
      </c>
      <c r="I89" s="310">
        <f t="shared" ref="I89:AI89" si="53">I97+I113</f>
        <v>-87324</v>
      </c>
      <c r="J89" s="310">
        <f t="shared" si="53"/>
        <v>-100000</v>
      </c>
      <c r="K89" s="310">
        <f t="shared" si="53"/>
        <v>3400000</v>
      </c>
      <c r="L89" s="310">
        <f t="shared" si="53"/>
        <v>-5024500</v>
      </c>
      <c r="M89" s="310">
        <f t="shared" si="53"/>
        <v>-1000</v>
      </c>
      <c r="N89" s="310">
        <f t="shared" si="53"/>
        <v>-80000</v>
      </c>
      <c r="O89" s="310">
        <f t="shared" si="53"/>
        <v>-31000</v>
      </c>
      <c r="P89" s="310">
        <f t="shared" si="53"/>
        <v>-3994008</v>
      </c>
      <c r="Q89" s="310">
        <f t="shared" si="53"/>
        <v>1918824</v>
      </c>
      <c r="R89" s="310">
        <f t="shared" si="53"/>
        <v>0</v>
      </c>
      <c r="S89" s="310">
        <f t="shared" si="53"/>
        <v>-560000</v>
      </c>
      <c r="T89" s="310">
        <f t="shared" si="53"/>
        <v>0</v>
      </c>
      <c r="U89" s="310">
        <f t="shared" si="53"/>
        <v>-3100000</v>
      </c>
      <c r="V89" s="310">
        <f t="shared" si="53"/>
        <v>0</v>
      </c>
      <c r="W89" s="310">
        <f t="shared" si="53"/>
        <v>0</v>
      </c>
      <c r="X89" s="310">
        <f t="shared" si="53"/>
        <v>-500000</v>
      </c>
      <c r="Y89" s="310">
        <f t="shared" si="53"/>
        <v>0</v>
      </c>
      <c r="Z89" s="310">
        <f t="shared" si="53"/>
        <v>-1500000</v>
      </c>
      <c r="AA89" s="310">
        <f t="shared" si="53"/>
        <v>0</v>
      </c>
      <c r="AB89" s="310">
        <f t="shared" si="53"/>
        <v>-500000</v>
      </c>
      <c r="AC89" s="310">
        <f t="shared" si="53"/>
        <v>-1250000</v>
      </c>
      <c r="AD89" s="310">
        <f t="shared" si="53"/>
        <v>0</v>
      </c>
      <c r="AE89" s="310">
        <f t="shared" si="53"/>
        <v>0</v>
      </c>
      <c r="AF89" s="310">
        <f t="shared" si="53"/>
        <v>0</v>
      </c>
      <c r="AG89" s="310">
        <f t="shared" si="53"/>
        <v>-8850000</v>
      </c>
      <c r="AH89" s="310">
        <f t="shared" si="53"/>
        <v>-9250000</v>
      </c>
      <c r="AI89" s="310">
        <f t="shared" si="53"/>
        <v>-3850000</v>
      </c>
      <c r="AJ89" s="310">
        <f t="shared" ref="AJ89:BW89" si="54">AJ97+AJ152</f>
        <v>0</v>
      </c>
      <c r="AK89" s="310">
        <f t="shared" si="54"/>
        <v>0</v>
      </c>
      <c r="AL89" s="310">
        <f t="shared" si="54"/>
        <v>0</v>
      </c>
      <c r="AM89" s="310">
        <f t="shared" si="54"/>
        <v>0</v>
      </c>
      <c r="AN89" s="310">
        <f t="shared" si="54"/>
        <v>0</v>
      </c>
      <c r="AO89" s="310">
        <f t="shared" si="54"/>
        <v>6761306</v>
      </c>
      <c r="AP89" s="310">
        <f t="shared" si="54"/>
        <v>0</v>
      </c>
      <c r="AQ89" s="310">
        <f t="shared" si="54"/>
        <v>0</v>
      </c>
      <c r="AR89" s="310">
        <f t="shared" si="54"/>
        <v>0</v>
      </c>
      <c r="AS89" s="310">
        <f t="shared" si="54"/>
        <v>0</v>
      </c>
      <c r="AT89" s="310">
        <f t="shared" si="54"/>
        <v>0</v>
      </c>
      <c r="AU89" s="310">
        <f t="shared" si="54"/>
        <v>0</v>
      </c>
      <c r="AV89" s="310">
        <f t="shared" si="54"/>
        <v>0</v>
      </c>
      <c r="AW89" s="310">
        <f t="shared" si="54"/>
        <v>0</v>
      </c>
      <c r="AX89" s="310">
        <f t="shared" si="54"/>
        <v>0</v>
      </c>
      <c r="AY89" s="310">
        <f t="shared" si="54"/>
        <v>0</v>
      </c>
      <c r="AZ89" s="310">
        <f t="shared" si="54"/>
        <v>0</v>
      </c>
      <c r="BA89" s="310">
        <f t="shared" si="54"/>
        <v>0</v>
      </c>
      <c r="BB89" s="310">
        <f t="shared" si="54"/>
        <v>0</v>
      </c>
      <c r="BC89" s="310">
        <f t="shared" si="54"/>
        <v>0</v>
      </c>
      <c r="BD89" s="310">
        <f t="shared" si="54"/>
        <v>0</v>
      </c>
      <c r="BE89" s="310">
        <f t="shared" si="54"/>
        <v>0</v>
      </c>
      <c r="BF89" s="310">
        <f t="shared" si="54"/>
        <v>0</v>
      </c>
      <c r="BG89" s="310">
        <f t="shared" si="54"/>
        <v>0</v>
      </c>
      <c r="BH89" s="310">
        <f t="shared" si="54"/>
        <v>0</v>
      </c>
      <c r="BI89" s="310">
        <f t="shared" si="54"/>
        <v>0</v>
      </c>
      <c r="BJ89" s="310">
        <f t="shared" si="54"/>
        <v>0</v>
      </c>
      <c r="BK89" s="310">
        <f t="shared" si="54"/>
        <v>0</v>
      </c>
      <c r="BL89" s="310">
        <f t="shared" si="54"/>
        <v>0</v>
      </c>
      <c r="BM89" s="310">
        <f t="shared" si="54"/>
        <v>0</v>
      </c>
      <c r="BN89" s="310">
        <f t="shared" si="54"/>
        <v>0</v>
      </c>
      <c r="BO89" s="310">
        <f t="shared" si="54"/>
        <v>0</v>
      </c>
      <c r="BP89" s="310">
        <f t="shared" si="54"/>
        <v>0</v>
      </c>
      <c r="BQ89" s="310">
        <f t="shared" si="54"/>
        <v>0</v>
      </c>
      <c r="BR89" s="310">
        <f t="shared" si="54"/>
        <v>0</v>
      </c>
      <c r="BS89" s="310">
        <f t="shared" si="54"/>
        <v>0</v>
      </c>
      <c r="BT89" s="310">
        <f t="shared" si="54"/>
        <v>0</v>
      </c>
      <c r="BU89" s="310">
        <f t="shared" si="54"/>
        <v>0</v>
      </c>
      <c r="BV89" s="310">
        <f t="shared" si="54"/>
        <v>0</v>
      </c>
      <c r="BW89" s="310">
        <f t="shared" si="54"/>
        <v>0</v>
      </c>
      <c r="BX89" s="310">
        <f>BX97+BX152+BX84</f>
        <v>20813154.572364546</v>
      </c>
      <c r="BY89" s="305"/>
      <c r="BZ89" s="229"/>
      <c r="CA89" s="229"/>
      <c r="CB89" s="229"/>
      <c r="CC89" s="229"/>
      <c r="CD89" s="229"/>
      <c r="CE89" s="229"/>
    </row>
    <row r="90" spans="2:83" hidden="1">
      <c r="B90" s="229"/>
      <c r="C90" s="311" t="s">
        <v>261</v>
      </c>
      <c r="D90" s="543">
        <f>IRR(I89:BX89)*12</f>
        <v>9.9051532728504235</v>
      </c>
      <c r="E90" s="568"/>
      <c r="F90" s="229"/>
      <c r="G90" s="229"/>
      <c r="H90" s="229"/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  <c r="U90" s="229"/>
      <c r="V90" s="229"/>
      <c r="W90" s="229"/>
      <c r="X90" s="229"/>
      <c r="Y90" s="229"/>
      <c r="Z90" s="229"/>
      <c r="AA90" s="229"/>
      <c r="AB90" s="229"/>
      <c r="AC90" s="229"/>
      <c r="AD90" s="229"/>
      <c r="AE90" s="229"/>
      <c r="AF90" s="229"/>
      <c r="AG90" s="229"/>
      <c r="AH90" s="229"/>
      <c r="AI90" s="229"/>
      <c r="AJ90" s="229"/>
      <c r="AK90" s="229"/>
      <c r="AL90" s="229"/>
      <c r="AM90" s="229"/>
      <c r="AN90" s="229"/>
      <c r="AO90" s="229"/>
      <c r="AP90" s="229"/>
      <c r="AQ90" s="229"/>
      <c r="AR90" s="229"/>
      <c r="AS90" s="229"/>
      <c r="AT90" s="229"/>
      <c r="AU90" s="229"/>
      <c r="AV90" s="229"/>
      <c r="AW90" s="229"/>
      <c r="AX90" s="229"/>
      <c r="AY90" s="229"/>
      <c r="AZ90" s="229"/>
      <c r="BA90" s="229"/>
      <c r="BB90" s="229"/>
      <c r="BC90" s="229"/>
      <c r="BD90" s="229"/>
      <c r="BE90" s="229"/>
      <c r="BF90" s="229"/>
      <c r="BG90" s="229"/>
      <c r="BH90" s="229"/>
      <c r="BI90" s="229"/>
      <c r="BJ90" s="229"/>
      <c r="BK90" s="229"/>
      <c r="BL90" s="229"/>
      <c r="BM90" s="229"/>
      <c r="BN90" s="229"/>
      <c r="BO90" s="229"/>
      <c r="BP90" s="229"/>
      <c r="BQ90" s="229"/>
      <c r="BR90" s="229"/>
      <c r="BS90" s="229"/>
      <c r="BT90" s="229"/>
      <c r="BU90" s="229"/>
      <c r="BV90" s="229"/>
      <c r="BW90" s="229"/>
      <c r="BX90" s="229"/>
      <c r="BY90" s="305"/>
      <c r="BZ90" s="229"/>
      <c r="CA90" s="229"/>
      <c r="CB90" s="229"/>
      <c r="CC90" s="229"/>
      <c r="CD90" s="229"/>
      <c r="CE90" s="229"/>
    </row>
    <row r="91" spans="2:83" hidden="1">
      <c r="B91" s="229"/>
      <c r="C91" s="229"/>
      <c r="D91" s="229"/>
      <c r="E91" s="229"/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29"/>
      <c r="Y91" s="229"/>
      <c r="Z91" s="229"/>
      <c r="AA91" s="229"/>
      <c r="AB91" s="229"/>
      <c r="AC91" s="229"/>
      <c r="AD91" s="229"/>
      <c r="AE91" s="229"/>
      <c r="AF91" s="229"/>
      <c r="AG91" s="229"/>
      <c r="AH91" s="229"/>
      <c r="AI91" s="229"/>
      <c r="AJ91" s="229"/>
      <c r="AK91" s="229"/>
      <c r="AL91" s="229"/>
      <c r="AM91" s="229"/>
      <c r="AN91" s="229"/>
      <c r="AO91" s="229"/>
      <c r="AP91" s="229"/>
      <c r="AQ91" s="229"/>
      <c r="AR91" s="229"/>
      <c r="AS91" s="229"/>
      <c r="AT91" s="229"/>
      <c r="AU91" s="229"/>
      <c r="AV91" s="229"/>
      <c r="AW91" s="229"/>
      <c r="AX91" s="229"/>
      <c r="AY91" s="229"/>
      <c r="AZ91" s="229"/>
      <c r="BA91" s="229"/>
      <c r="BB91" s="229"/>
      <c r="BC91" s="229"/>
      <c r="BD91" s="229"/>
      <c r="BE91" s="229"/>
      <c r="BF91" s="229"/>
      <c r="BG91" s="229"/>
      <c r="BH91" s="229"/>
      <c r="BI91" s="229"/>
      <c r="BJ91" s="229"/>
      <c r="BK91" s="229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  <c r="BY91" s="305"/>
      <c r="BZ91" s="229"/>
      <c r="CA91" s="229"/>
      <c r="CB91" s="229"/>
      <c r="CC91" s="229"/>
      <c r="CD91" s="229"/>
      <c r="CE91" s="229"/>
    </row>
    <row r="92" spans="2:83" hidden="1">
      <c r="B92" s="229"/>
      <c r="C92" s="229"/>
      <c r="D92" s="229"/>
      <c r="E92" s="229"/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  <c r="AJ92" s="229"/>
      <c r="AK92" s="229"/>
      <c r="AL92" s="229"/>
      <c r="AM92" s="229"/>
      <c r="AN92" s="229"/>
      <c r="AO92" s="229"/>
      <c r="AP92" s="229"/>
      <c r="AQ92" s="229"/>
      <c r="AR92" s="229"/>
      <c r="AS92" s="229"/>
      <c r="AT92" s="229"/>
      <c r="AU92" s="229"/>
      <c r="AV92" s="229"/>
      <c r="AW92" s="229"/>
      <c r="AX92" s="229"/>
      <c r="AY92" s="229"/>
      <c r="AZ92" s="229"/>
      <c r="BA92" s="229"/>
      <c r="BB92" s="229"/>
      <c r="BC92" s="229"/>
      <c r="BD92" s="229"/>
      <c r="BE92" s="229"/>
      <c r="BF92" s="229"/>
      <c r="BG92" s="229"/>
      <c r="BH92" s="229"/>
      <c r="BI92" s="229"/>
      <c r="BJ92" s="229"/>
      <c r="BK92" s="229"/>
      <c r="BL92" s="229"/>
      <c r="BM92" s="229"/>
      <c r="BN92" s="229"/>
      <c r="BO92" s="229"/>
      <c r="BP92" s="229"/>
      <c r="BQ92" s="229"/>
      <c r="BR92" s="229"/>
      <c r="BS92" s="229"/>
      <c r="BT92" s="229"/>
      <c r="BU92" s="229"/>
      <c r="BV92" s="229"/>
      <c r="BW92" s="229"/>
      <c r="BX92" s="229"/>
      <c r="BY92" s="305"/>
      <c r="BZ92" s="229"/>
      <c r="CA92" s="229"/>
      <c r="CB92" s="229"/>
      <c r="CC92" s="229"/>
      <c r="CD92" s="229"/>
      <c r="CE92" s="229"/>
    </row>
    <row r="93" spans="2:83" ht="17.100000000000001" hidden="1">
      <c r="B93" s="229"/>
      <c r="C93" s="308" t="s">
        <v>262</v>
      </c>
      <c r="D93" s="573"/>
      <c r="E93" s="567"/>
      <c r="F93" s="567"/>
      <c r="G93" s="567"/>
      <c r="H93" s="567"/>
      <c r="I93" s="567"/>
      <c r="J93" s="567"/>
      <c r="K93" s="567"/>
      <c r="L93" s="567"/>
      <c r="M93" s="567"/>
      <c r="N93" s="567"/>
      <c r="O93" s="567"/>
      <c r="P93" s="567"/>
      <c r="Q93" s="567"/>
      <c r="R93" s="567"/>
      <c r="S93" s="567"/>
      <c r="T93" s="567"/>
      <c r="U93" s="567"/>
      <c r="V93" s="567"/>
      <c r="W93" s="567"/>
      <c r="X93" s="567"/>
      <c r="Y93" s="567"/>
      <c r="Z93" s="567"/>
      <c r="AA93" s="567"/>
      <c r="AB93" s="567"/>
      <c r="AC93" s="567"/>
      <c r="AD93" s="567"/>
      <c r="AE93" s="567"/>
      <c r="AF93" s="567"/>
      <c r="AG93" s="567"/>
      <c r="AH93" s="567"/>
      <c r="AI93" s="567"/>
      <c r="AJ93" s="567"/>
      <c r="AK93" s="567"/>
      <c r="AL93" s="567"/>
      <c r="AM93" s="567"/>
      <c r="AN93" s="567"/>
      <c r="AO93" s="567"/>
      <c r="AP93" s="567"/>
      <c r="AQ93" s="567"/>
      <c r="AR93" s="567"/>
      <c r="AS93" s="567"/>
      <c r="AT93" s="567"/>
      <c r="AU93" s="567"/>
      <c r="AV93" s="567"/>
      <c r="AW93" s="567"/>
      <c r="AX93" s="567"/>
      <c r="AY93" s="567"/>
      <c r="AZ93" s="567"/>
      <c r="BA93" s="567"/>
      <c r="BB93" s="567"/>
      <c r="BC93" s="567"/>
      <c r="BD93" s="567"/>
      <c r="BE93" s="567"/>
      <c r="BF93" s="567"/>
      <c r="BG93" s="567"/>
      <c r="BH93" s="567"/>
      <c r="BI93" s="567"/>
      <c r="BJ93" s="567"/>
      <c r="BK93" s="567"/>
      <c r="BL93" s="567"/>
      <c r="BM93" s="567"/>
      <c r="BN93" s="567"/>
      <c r="BO93" s="567"/>
      <c r="BP93" s="567"/>
      <c r="BQ93" s="567"/>
      <c r="BR93" s="567"/>
      <c r="BS93" s="567"/>
      <c r="BT93" s="567"/>
      <c r="BU93" s="567"/>
      <c r="BV93" s="567"/>
      <c r="BW93" s="568"/>
      <c r="BX93" s="313">
        <f>BX84*C94</f>
        <v>4162630.9144729096</v>
      </c>
      <c r="BY93" s="305"/>
      <c r="BZ93" s="229"/>
      <c r="CA93" s="229"/>
      <c r="CB93" s="229"/>
      <c r="CC93" s="229"/>
      <c r="CD93" s="229"/>
      <c r="CE93" s="229"/>
    </row>
    <row r="94" spans="2:83" ht="18.95" hidden="1">
      <c r="B94" s="229"/>
      <c r="C94" s="314">
        <v>0.2</v>
      </c>
      <c r="D94" s="229"/>
      <c r="E94" s="229"/>
      <c r="F94" s="229"/>
      <c r="G94" s="229"/>
      <c r="H94" s="229"/>
      <c r="I94" s="229"/>
      <c r="J94" s="229"/>
      <c r="K94" s="229"/>
      <c r="L94" s="229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229"/>
      <c r="X94" s="229"/>
      <c r="Y94" s="229"/>
      <c r="Z94" s="229"/>
      <c r="AA94" s="229"/>
      <c r="AB94" s="229"/>
      <c r="AC94" s="229"/>
      <c r="AD94" s="229"/>
      <c r="AE94" s="229"/>
      <c r="AF94" s="229"/>
      <c r="AG94" s="229"/>
      <c r="AH94" s="229"/>
      <c r="AI94" s="229"/>
      <c r="AJ94" s="229"/>
      <c r="AK94" s="229"/>
      <c r="AL94" s="229"/>
      <c r="AM94" s="229"/>
      <c r="AN94" s="229"/>
      <c r="AO94" s="229"/>
      <c r="AP94" s="229"/>
      <c r="AQ94" s="229"/>
      <c r="AR94" s="229"/>
      <c r="AS94" s="229"/>
      <c r="AT94" s="229"/>
      <c r="AU94" s="229"/>
      <c r="AV94" s="229"/>
      <c r="AW94" s="229"/>
      <c r="AX94" s="229"/>
      <c r="AY94" s="229"/>
      <c r="AZ94" s="229"/>
      <c r="BA94" s="229"/>
      <c r="BB94" s="229"/>
      <c r="BC94" s="229"/>
      <c r="BD94" s="229"/>
      <c r="BE94" s="229"/>
      <c r="BF94" s="229"/>
      <c r="BG94" s="229"/>
      <c r="BH94" s="229"/>
      <c r="BI94" s="229"/>
      <c r="BJ94" s="229"/>
      <c r="BK94" s="229"/>
      <c r="BL94" s="229"/>
      <c r="BM94" s="229"/>
      <c r="BN94" s="229"/>
      <c r="BO94" s="229"/>
      <c r="BP94" s="229"/>
      <c r="BQ94" s="229"/>
      <c r="BR94" s="229"/>
      <c r="BS94" s="229"/>
      <c r="BT94" s="229"/>
      <c r="BU94" s="229"/>
      <c r="BV94" s="229"/>
      <c r="BW94" s="229"/>
      <c r="BX94" s="229"/>
      <c r="BY94" s="305"/>
      <c r="BZ94" s="229"/>
      <c r="CA94" s="229"/>
      <c r="CB94" s="229"/>
      <c r="CC94" s="229"/>
      <c r="CD94" s="229"/>
      <c r="CE94" s="229"/>
    </row>
    <row r="97" spans="3:76">
      <c r="C97" s="308" t="s">
        <v>263</v>
      </c>
      <c r="D97" s="309"/>
      <c r="E97" s="310">
        <f t="shared" ref="E97:BX97" si="55">-(E5+E74)</f>
        <v>0</v>
      </c>
      <c r="F97" s="310">
        <f t="shared" si="55"/>
        <v>0</v>
      </c>
      <c r="G97" s="310">
        <f t="shared" si="55"/>
        <v>0</v>
      </c>
      <c r="H97" s="310">
        <f t="shared" si="55"/>
        <v>0</v>
      </c>
      <c r="I97" s="310">
        <f t="shared" si="55"/>
        <v>-87324</v>
      </c>
      <c r="J97" s="310">
        <f t="shared" si="55"/>
        <v>-100000</v>
      </c>
      <c r="K97" s="310">
        <f t="shared" si="55"/>
        <v>3400000</v>
      </c>
      <c r="L97" s="310">
        <f t="shared" si="55"/>
        <v>-5024500</v>
      </c>
      <c r="M97" s="310">
        <f t="shared" si="55"/>
        <v>-1000</v>
      </c>
      <c r="N97" s="310">
        <f t="shared" si="55"/>
        <v>-80000</v>
      </c>
      <c r="O97" s="310">
        <f t="shared" si="55"/>
        <v>-31000</v>
      </c>
      <c r="P97" s="310">
        <f t="shared" si="55"/>
        <v>0</v>
      </c>
      <c r="Q97" s="310">
        <f t="shared" si="55"/>
        <v>1918824</v>
      </c>
      <c r="R97" s="310">
        <f t="shared" si="55"/>
        <v>0</v>
      </c>
      <c r="S97" s="310">
        <f t="shared" si="55"/>
        <v>0</v>
      </c>
      <c r="T97" s="310">
        <f t="shared" si="55"/>
        <v>0</v>
      </c>
      <c r="U97" s="310">
        <f t="shared" si="55"/>
        <v>-16306</v>
      </c>
      <c r="V97" s="310">
        <f t="shared" si="55"/>
        <v>0</v>
      </c>
      <c r="W97" s="310">
        <f t="shared" si="55"/>
        <v>0</v>
      </c>
      <c r="X97" s="310">
        <f t="shared" si="55"/>
        <v>-500000</v>
      </c>
      <c r="Y97" s="310">
        <f t="shared" si="55"/>
        <v>0</v>
      </c>
      <c r="Z97" s="310">
        <f t="shared" si="55"/>
        <v>-1500000</v>
      </c>
      <c r="AA97" s="310">
        <f t="shared" si="55"/>
        <v>0</v>
      </c>
      <c r="AB97" s="310">
        <f t="shared" si="55"/>
        <v>-100000</v>
      </c>
      <c r="AC97" s="310">
        <f t="shared" si="55"/>
        <v>-250000</v>
      </c>
      <c r="AD97" s="310">
        <f t="shared" si="55"/>
        <v>0</v>
      </c>
      <c r="AE97" s="310">
        <f t="shared" si="55"/>
        <v>0</v>
      </c>
      <c r="AF97" s="310">
        <f t="shared" si="55"/>
        <v>0</v>
      </c>
      <c r="AG97" s="310">
        <f t="shared" si="55"/>
        <v>-1770000</v>
      </c>
      <c r="AH97" s="310">
        <f t="shared" si="55"/>
        <v>-1850000</v>
      </c>
      <c r="AI97" s="310">
        <f t="shared" si="55"/>
        <v>-770000</v>
      </c>
      <c r="AJ97" s="310">
        <f t="shared" si="55"/>
        <v>0</v>
      </c>
      <c r="AK97" s="310">
        <f t="shared" si="55"/>
        <v>0</v>
      </c>
      <c r="AL97" s="310">
        <f t="shared" si="55"/>
        <v>0</v>
      </c>
      <c r="AM97" s="310">
        <f t="shared" si="55"/>
        <v>0</v>
      </c>
      <c r="AN97" s="310">
        <f t="shared" si="55"/>
        <v>0</v>
      </c>
      <c r="AO97" s="310">
        <f t="shared" si="55"/>
        <v>6761306</v>
      </c>
      <c r="AP97" s="310">
        <f t="shared" si="55"/>
        <v>0</v>
      </c>
      <c r="AQ97" s="310">
        <f t="shared" si="55"/>
        <v>0</v>
      </c>
      <c r="AR97" s="310">
        <f t="shared" si="55"/>
        <v>0</v>
      </c>
      <c r="AS97" s="310">
        <f t="shared" si="55"/>
        <v>0</v>
      </c>
      <c r="AT97" s="310">
        <f t="shared" si="55"/>
        <v>0</v>
      </c>
      <c r="AU97" s="310">
        <f t="shared" si="55"/>
        <v>0</v>
      </c>
      <c r="AV97" s="310">
        <f t="shared" si="55"/>
        <v>0</v>
      </c>
      <c r="AW97" s="310">
        <f t="shared" si="55"/>
        <v>0</v>
      </c>
      <c r="AX97" s="310">
        <f t="shared" si="55"/>
        <v>0</v>
      </c>
      <c r="AY97" s="310">
        <f t="shared" si="55"/>
        <v>0</v>
      </c>
      <c r="AZ97" s="310">
        <f t="shared" si="55"/>
        <v>0</v>
      </c>
      <c r="BA97" s="310">
        <f t="shared" si="55"/>
        <v>0</v>
      </c>
      <c r="BB97" s="310">
        <f t="shared" si="55"/>
        <v>0</v>
      </c>
      <c r="BC97" s="310">
        <f t="shared" si="55"/>
        <v>0</v>
      </c>
      <c r="BD97" s="310">
        <f t="shared" si="55"/>
        <v>0</v>
      </c>
      <c r="BE97" s="310">
        <f t="shared" si="55"/>
        <v>0</v>
      </c>
      <c r="BF97" s="310">
        <f t="shared" si="55"/>
        <v>0</v>
      </c>
      <c r="BG97" s="310">
        <f t="shared" si="55"/>
        <v>0</v>
      </c>
      <c r="BH97" s="310">
        <f t="shared" si="55"/>
        <v>0</v>
      </c>
      <c r="BI97" s="310">
        <f t="shared" si="55"/>
        <v>0</v>
      </c>
      <c r="BJ97" s="310">
        <f t="shared" si="55"/>
        <v>0</v>
      </c>
      <c r="BK97" s="310">
        <f t="shared" si="55"/>
        <v>0</v>
      </c>
      <c r="BL97" s="310">
        <f t="shared" si="55"/>
        <v>0</v>
      </c>
      <c r="BM97" s="310">
        <f t="shared" si="55"/>
        <v>0</v>
      </c>
      <c r="BN97" s="310">
        <f t="shared" si="55"/>
        <v>0</v>
      </c>
      <c r="BO97" s="310">
        <f t="shared" si="55"/>
        <v>0</v>
      </c>
      <c r="BP97" s="310">
        <f t="shared" si="55"/>
        <v>0</v>
      </c>
      <c r="BQ97" s="310">
        <f t="shared" si="55"/>
        <v>0</v>
      </c>
      <c r="BR97" s="310">
        <f t="shared" si="55"/>
        <v>0</v>
      </c>
      <c r="BS97" s="310">
        <f t="shared" si="55"/>
        <v>0</v>
      </c>
      <c r="BT97" s="310">
        <f t="shared" si="55"/>
        <v>0</v>
      </c>
      <c r="BU97" s="310">
        <f t="shared" si="55"/>
        <v>0</v>
      </c>
      <c r="BV97" s="310">
        <f t="shared" si="55"/>
        <v>0</v>
      </c>
      <c r="BW97" s="310">
        <f t="shared" si="55"/>
        <v>0</v>
      </c>
      <c r="BX97" s="310">
        <f t="shared" si="55"/>
        <v>0</v>
      </c>
    </row>
    <row r="98" spans="3:76">
      <c r="C98" s="308" t="s">
        <v>264</v>
      </c>
      <c r="D98" s="317"/>
      <c r="E98" s="309"/>
      <c r="F98" s="309"/>
      <c r="G98" s="309"/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309"/>
      <c r="AA98" s="309"/>
      <c r="AB98" s="309"/>
      <c r="AC98" s="309"/>
      <c r="AD98" s="309"/>
      <c r="AE98" s="309"/>
      <c r="AF98" s="309"/>
      <c r="AG98" s="309"/>
      <c r="AH98" s="309"/>
      <c r="AI98" s="309"/>
      <c r="AJ98" s="309"/>
      <c r="AK98" s="309"/>
      <c r="AL98" s="309"/>
      <c r="AM98" s="309"/>
      <c r="AN98" s="309"/>
      <c r="AO98" s="309"/>
      <c r="AP98" s="309"/>
      <c r="AQ98" s="309"/>
      <c r="AR98" s="309"/>
      <c r="AS98" s="309"/>
      <c r="AT98" s="309"/>
      <c r="AU98" s="309"/>
      <c r="AV98" s="309"/>
      <c r="AW98" s="309"/>
      <c r="AX98" s="309"/>
      <c r="AY98" s="309"/>
      <c r="AZ98" s="309"/>
      <c r="BA98" s="309"/>
      <c r="BB98" s="309"/>
      <c r="BC98" s="309"/>
      <c r="BD98" s="309"/>
      <c r="BE98" s="309"/>
      <c r="BF98" s="309"/>
      <c r="BG98" s="309"/>
      <c r="BH98" s="309"/>
      <c r="BI98" s="309"/>
      <c r="BJ98" s="309"/>
      <c r="BK98" s="309"/>
      <c r="BL98" s="309"/>
      <c r="BM98" s="309"/>
      <c r="BN98" s="309"/>
      <c r="BO98" s="309"/>
      <c r="BP98" s="309"/>
      <c r="BQ98" s="309"/>
      <c r="BR98" s="309"/>
      <c r="BS98" s="309"/>
      <c r="BT98" s="309"/>
      <c r="BU98" s="309"/>
      <c r="BV98" s="309"/>
      <c r="BW98" s="309"/>
      <c r="BX98" s="309"/>
    </row>
    <row r="99" spans="3:76">
      <c r="C99" s="308" t="s">
        <v>265</v>
      </c>
      <c r="D99" s="317"/>
      <c r="E99" s="309">
        <f t="shared" ref="E99:BX99" si="56">-E55</f>
        <v>0</v>
      </c>
      <c r="F99" s="309">
        <f t="shared" si="56"/>
        <v>0</v>
      </c>
      <c r="G99" s="309">
        <f t="shared" si="56"/>
        <v>0</v>
      </c>
      <c r="H99" s="309">
        <f t="shared" si="56"/>
        <v>0</v>
      </c>
      <c r="I99" s="309">
        <f t="shared" si="56"/>
        <v>0</v>
      </c>
      <c r="J99" s="309">
        <f t="shared" si="56"/>
        <v>0</v>
      </c>
      <c r="K99" s="309">
        <f t="shared" si="56"/>
        <v>0</v>
      </c>
      <c r="L99" s="309">
        <f t="shared" si="56"/>
        <v>0</v>
      </c>
      <c r="M99" s="309">
        <f t="shared" si="56"/>
        <v>0</v>
      </c>
      <c r="N99" s="309">
        <f t="shared" si="56"/>
        <v>0</v>
      </c>
      <c r="O99" s="309">
        <f t="shared" si="56"/>
        <v>0</v>
      </c>
      <c r="P99" s="309">
        <f t="shared" si="56"/>
        <v>0</v>
      </c>
      <c r="Q99" s="309">
        <f t="shared" si="56"/>
        <v>113313</v>
      </c>
      <c r="R99" s="309">
        <f t="shared" si="56"/>
        <v>0</v>
      </c>
      <c r="S99" s="309">
        <f t="shared" si="56"/>
        <v>0</v>
      </c>
      <c r="T99" s="309">
        <f t="shared" si="56"/>
        <v>0</v>
      </c>
      <c r="U99" s="309">
        <f t="shared" si="56"/>
        <v>0</v>
      </c>
      <c r="V99" s="309">
        <f t="shared" si="56"/>
        <v>0</v>
      </c>
      <c r="W99" s="309">
        <f t="shared" si="56"/>
        <v>0</v>
      </c>
      <c r="X99" s="309">
        <f t="shared" si="56"/>
        <v>0</v>
      </c>
      <c r="Y99" s="309">
        <f t="shared" si="56"/>
        <v>0</v>
      </c>
      <c r="Z99" s="309">
        <f t="shared" si="56"/>
        <v>0</v>
      </c>
      <c r="AA99" s="309">
        <f t="shared" si="56"/>
        <v>0</v>
      </c>
      <c r="AB99" s="309">
        <f t="shared" si="56"/>
        <v>0</v>
      </c>
      <c r="AC99" s="309">
        <f t="shared" si="56"/>
        <v>0</v>
      </c>
      <c r="AD99" s="309">
        <f t="shared" si="56"/>
        <v>0</v>
      </c>
      <c r="AE99" s="309">
        <f t="shared" si="56"/>
        <v>0</v>
      </c>
      <c r="AF99" s="309">
        <f t="shared" si="56"/>
        <v>0</v>
      </c>
      <c r="AG99" s="309">
        <f t="shared" si="56"/>
        <v>0</v>
      </c>
      <c r="AH99" s="309">
        <f t="shared" si="56"/>
        <v>0</v>
      </c>
      <c r="AI99" s="309">
        <f t="shared" si="56"/>
        <v>0</v>
      </c>
      <c r="AJ99" s="309">
        <f t="shared" si="56"/>
        <v>0</v>
      </c>
      <c r="AK99" s="309">
        <f t="shared" si="56"/>
        <v>0</v>
      </c>
      <c r="AL99" s="309">
        <f t="shared" si="56"/>
        <v>0</v>
      </c>
      <c r="AM99" s="309">
        <f t="shared" si="56"/>
        <v>0</v>
      </c>
      <c r="AN99" s="309">
        <f t="shared" si="56"/>
        <v>0</v>
      </c>
      <c r="AO99" s="309">
        <f t="shared" si="56"/>
        <v>860897.51000000024</v>
      </c>
      <c r="AP99" s="309">
        <f t="shared" si="56"/>
        <v>0</v>
      </c>
      <c r="AQ99" s="309">
        <f t="shared" si="56"/>
        <v>0</v>
      </c>
      <c r="AR99" s="309">
        <f t="shared" si="56"/>
        <v>0</v>
      </c>
      <c r="AS99" s="309">
        <f t="shared" si="56"/>
        <v>0</v>
      </c>
      <c r="AT99" s="309">
        <f t="shared" si="56"/>
        <v>0</v>
      </c>
      <c r="AU99" s="309">
        <f t="shared" si="56"/>
        <v>0</v>
      </c>
      <c r="AV99" s="309">
        <f t="shared" si="56"/>
        <v>0</v>
      </c>
      <c r="AW99" s="309">
        <f t="shared" si="56"/>
        <v>0</v>
      </c>
      <c r="AX99" s="309">
        <f t="shared" si="56"/>
        <v>0</v>
      </c>
      <c r="AY99" s="309">
        <f t="shared" si="56"/>
        <v>0</v>
      </c>
      <c r="AZ99" s="309">
        <f t="shared" si="56"/>
        <v>0</v>
      </c>
      <c r="BA99" s="309">
        <f t="shared" si="56"/>
        <v>0</v>
      </c>
      <c r="BB99" s="309">
        <f t="shared" si="56"/>
        <v>0</v>
      </c>
      <c r="BC99" s="309">
        <f t="shared" si="56"/>
        <v>0</v>
      </c>
      <c r="BD99" s="309">
        <f t="shared" si="56"/>
        <v>0</v>
      </c>
      <c r="BE99" s="309">
        <f t="shared" si="56"/>
        <v>0</v>
      </c>
      <c r="BF99" s="309">
        <f t="shared" si="56"/>
        <v>0</v>
      </c>
      <c r="BG99" s="309">
        <f t="shared" si="56"/>
        <v>0</v>
      </c>
      <c r="BH99" s="309">
        <f t="shared" si="56"/>
        <v>0</v>
      </c>
      <c r="BI99" s="309">
        <f t="shared" si="56"/>
        <v>0</v>
      </c>
      <c r="BJ99" s="309">
        <f t="shared" si="56"/>
        <v>0</v>
      </c>
      <c r="BK99" s="309">
        <f t="shared" si="56"/>
        <v>0</v>
      </c>
      <c r="BL99" s="309">
        <f t="shared" si="56"/>
        <v>0</v>
      </c>
      <c r="BM99" s="309">
        <f t="shared" si="56"/>
        <v>0</v>
      </c>
      <c r="BN99" s="309">
        <f t="shared" si="56"/>
        <v>0</v>
      </c>
      <c r="BO99" s="309">
        <f t="shared" si="56"/>
        <v>0</v>
      </c>
      <c r="BP99" s="309">
        <f t="shared" si="56"/>
        <v>0</v>
      </c>
      <c r="BQ99" s="309">
        <f t="shared" si="56"/>
        <v>0</v>
      </c>
      <c r="BR99" s="309">
        <f t="shared" si="56"/>
        <v>0</v>
      </c>
      <c r="BS99" s="309">
        <f t="shared" si="56"/>
        <v>0</v>
      </c>
      <c r="BT99" s="309">
        <f t="shared" si="56"/>
        <v>0</v>
      </c>
      <c r="BU99" s="309">
        <f t="shared" si="56"/>
        <v>0</v>
      </c>
      <c r="BV99" s="309">
        <f t="shared" si="56"/>
        <v>0</v>
      </c>
      <c r="BW99" s="309">
        <f t="shared" si="56"/>
        <v>0</v>
      </c>
      <c r="BX99" s="309">
        <f t="shared" si="56"/>
        <v>0</v>
      </c>
    </row>
    <row r="100" spans="3:76">
      <c r="C100" s="308" t="s">
        <v>266</v>
      </c>
      <c r="D100" s="317"/>
      <c r="E100" s="309"/>
      <c r="F100" s="309"/>
      <c r="G100" s="309"/>
      <c r="H100" s="309"/>
      <c r="I100" s="309"/>
      <c r="J100" s="309"/>
      <c r="K100" s="309"/>
      <c r="L100" s="309"/>
      <c r="M100" s="309"/>
      <c r="N100" s="309"/>
      <c r="O100" s="309"/>
      <c r="P100" s="309"/>
      <c r="Q100" s="309"/>
      <c r="R100" s="309"/>
      <c r="S100" s="309"/>
      <c r="T100" s="309"/>
      <c r="U100" s="309"/>
      <c r="V100" s="309"/>
      <c r="W100" s="309"/>
      <c r="X100" s="309"/>
      <c r="Y100" s="309"/>
      <c r="Z100" s="309"/>
      <c r="AA100" s="309"/>
      <c r="AB100" s="309"/>
      <c r="AC100" s="309"/>
      <c r="AD100" s="309"/>
      <c r="AE100" s="309"/>
      <c r="AF100" s="309"/>
      <c r="AG100" s="309"/>
      <c r="AH100" s="309"/>
      <c r="AI100" s="309"/>
      <c r="AJ100" s="309"/>
      <c r="AK100" s="309"/>
      <c r="AL100" s="309"/>
      <c r="AM100" s="309"/>
      <c r="AN100" s="309"/>
      <c r="AO100" s="309">
        <f>AO84*$D$102</f>
        <v>4162630.9144729096</v>
      </c>
      <c r="AP100" s="309"/>
      <c r="AQ100" s="309"/>
      <c r="AR100" s="309"/>
      <c r="AS100" s="309"/>
      <c r="AT100" s="309"/>
      <c r="AU100" s="309"/>
      <c r="AV100" s="309"/>
      <c r="AW100" s="309"/>
      <c r="AX100" s="309"/>
      <c r="AY100" s="309"/>
      <c r="AZ100" s="309"/>
      <c r="BA100" s="309"/>
      <c r="BB100" s="309"/>
      <c r="BC100" s="309"/>
      <c r="BD100" s="309"/>
      <c r="BE100" s="309"/>
      <c r="BF100" s="309"/>
      <c r="BG100" s="309"/>
      <c r="BH100" s="309"/>
      <c r="BI100" s="309"/>
      <c r="BJ100" s="309"/>
      <c r="BK100" s="309"/>
      <c r="BL100" s="309"/>
      <c r="BM100" s="309"/>
      <c r="BN100" s="309"/>
      <c r="BO100" s="309"/>
      <c r="BP100" s="309"/>
      <c r="BQ100" s="309"/>
      <c r="BR100" s="309"/>
      <c r="BS100" s="309"/>
      <c r="BT100" s="309"/>
      <c r="BU100" s="309"/>
      <c r="BV100" s="309"/>
      <c r="BW100" s="309"/>
      <c r="BX100" s="309">
        <f>IF(D90&gt;0.25,(BX84-BX93)*D102,BX84*D102)</f>
        <v>3330104.7315783277</v>
      </c>
    </row>
    <row r="101" spans="3:76">
      <c r="C101" s="308" t="s">
        <v>262</v>
      </c>
      <c r="D101" s="317"/>
      <c r="E101" s="309"/>
      <c r="F101" s="309"/>
      <c r="G101" s="309"/>
      <c r="H101" s="309"/>
      <c r="I101" s="309"/>
      <c r="J101" s="309"/>
      <c r="K101" s="309"/>
      <c r="L101" s="309"/>
      <c r="M101" s="309"/>
      <c r="N101" s="309"/>
      <c r="O101" s="309"/>
      <c r="P101" s="309"/>
      <c r="Q101" s="309"/>
      <c r="R101" s="309"/>
      <c r="S101" s="309"/>
      <c r="T101" s="309"/>
      <c r="U101" s="309"/>
      <c r="V101" s="309"/>
      <c r="W101" s="309"/>
      <c r="X101" s="309"/>
      <c r="Y101" s="309"/>
      <c r="Z101" s="309"/>
      <c r="AA101" s="309"/>
      <c r="AB101" s="309"/>
      <c r="AC101" s="309"/>
      <c r="AD101" s="309"/>
      <c r="AE101" s="309"/>
      <c r="AF101" s="309"/>
      <c r="AG101" s="309"/>
      <c r="AH101" s="309"/>
      <c r="AI101" s="309"/>
      <c r="AJ101" s="309"/>
      <c r="AK101" s="309"/>
      <c r="AL101" s="309"/>
      <c r="AM101" s="309"/>
      <c r="AN101" s="309"/>
      <c r="AO101" s="309"/>
      <c r="AP101" s="309"/>
      <c r="AQ101" s="309"/>
      <c r="AR101" s="309"/>
      <c r="AS101" s="309"/>
      <c r="AT101" s="309"/>
      <c r="AU101" s="309"/>
      <c r="AV101" s="309"/>
      <c r="AW101" s="309"/>
      <c r="AX101" s="309"/>
      <c r="AY101" s="309"/>
      <c r="AZ101" s="309"/>
      <c r="BA101" s="309"/>
      <c r="BB101" s="309"/>
      <c r="BC101" s="309"/>
      <c r="BD101" s="309"/>
      <c r="BE101" s="309"/>
      <c r="BF101" s="309"/>
      <c r="BG101" s="309"/>
      <c r="BH101" s="309"/>
      <c r="BI101" s="309"/>
      <c r="BJ101" s="309"/>
      <c r="BK101" s="309"/>
      <c r="BL101" s="309"/>
      <c r="BM101" s="309"/>
      <c r="BN101" s="309"/>
      <c r="BO101" s="309"/>
      <c r="BP101" s="309"/>
      <c r="BQ101" s="309"/>
      <c r="BR101" s="309"/>
      <c r="BS101" s="309"/>
      <c r="BT101" s="309"/>
      <c r="BU101" s="309"/>
      <c r="BV101" s="309"/>
      <c r="BW101" s="309"/>
      <c r="BX101" s="309">
        <f>IF(D90&gt;0.25,BX93,0)</f>
        <v>4162630.9144729096</v>
      </c>
    </row>
    <row r="102" spans="3:76">
      <c r="C102" s="311" t="s">
        <v>267</v>
      </c>
      <c r="D102" s="317">
        <v>0.2</v>
      </c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  <c r="AA102" s="250"/>
      <c r="AB102" s="250"/>
      <c r="AC102" s="250"/>
      <c r="AD102" s="250"/>
      <c r="AE102" s="250"/>
      <c r="AF102" s="250"/>
      <c r="AG102" s="250"/>
      <c r="AH102" s="250"/>
      <c r="AI102" s="250"/>
      <c r="AJ102" s="250"/>
      <c r="AK102" s="250"/>
      <c r="AL102" s="250"/>
      <c r="AM102" s="250"/>
      <c r="AN102" s="250"/>
      <c r="AO102" s="250"/>
      <c r="AP102" s="250"/>
      <c r="AQ102" s="250"/>
      <c r="AR102" s="250"/>
      <c r="AS102" s="250"/>
      <c r="AT102" s="250"/>
      <c r="AU102" s="250"/>
      <c r="AV102" s="250"/>
      <c r="AW102" s="250"/>
      <c r="AX102" s="250"/>
      <c r="AY102" s="250"/>
      <c r="AZ102" s="250"/>
      <c r="BA102" s="250"/>
      <c r="BB102" s="250"/>
      <c r="BC102" s="318"/>
      <c r="BD102" s="250"/>
      <c r="BE102" s="250"/>
      <c r="BF102" s="250"/>
      <c r="BG102" s="250"/>
      <c r="BH102" s="250"/>
      <c r="BI102" s="250"/>
      <c r="BJ102" s="250"/>
      <c r="BK102" s="250"/>
      <c r="BL102" s="250"/>
      <c r="BM102" s="250"/>
      <c r="BN102" s="250"/>
      <c r="BO102" s="250"/>
      <c r="BP102" s="250"/>
      <c r="BQ102" s="250"/>
      <c r="BR102" s="250"/>
      <c r="BS102" s="250"/>
      <c r="BT102" s="250"/>
      <c r="BU102" s="250"/>
      <c r="BV102" s="250"/>
      <c r="BW102" s="250"/>
      <c r="BX102" s="250"/>
    </row>
    <row r="103" spans="3:76">
      <c r="C103" s="308" t="s">
        <v>268</v>
      </c>
      <c r="D103" s="312"/>
      <c r="E103" s="319">
        <f t="shared" ref="E103:BW103" si="57">E97+E98+E99+E100+E102</f>
        <v>0</v>
      </c>
      <c r="F103" s="319">
        <f t="shared" si="57"/>
        <v>0</v>
      </c>
      <c r="G103" s="319">
        <f t="shared" si="57"/>
        <v>0</v>
      </c>
      <c r="H103" s="319">
        <f t="shared" si="57"/>
        <v>0</v>
      </c>
      <c r="I103" s="319">
        <f t="shared" si="57"/>
        <v>-87324</v>
      </c>
      <c r="J103" s="319">
        <f t="shared" si="57"/>
        <v>-100000</v>
      </c>
      <c r="K103" s="319">
        <f t="shared" si="57"/>
        <v>3400000</v>
      </c>
      <c r="L103" s="319">
        <f t="shared" si="57"/>
        <v>-5024500</v>
      </c>
      <c r="M103" s="319">
        <f t="shared" si="57"/>
        <v>-1000</v>
      </c>
      <c r="N103" s="319">
        <f t="shared" si="57"/>
        <v>-80000</v>
      </c>
      <c r="O103" s="319">
        <f t="shared" si="57"/>
        <v>-31000</v>
      </c>
      <c r="P103" s="319">
        <f t="shared" si="57"/>
        <v>0</v>
      </c>
      <c r="Q103" s="319">
        <f t="shared" si="57"/>
        <v>2032137</v>
      </c>
      <c r="R103" s="319">
        <f t="shared" si="57"/>
        <v>0</v>
      </c>
      <c r="S103" s="319">
        <f t="shared" si="57"/>
        <v>0</v>
      </c>
      <c r="T103" s="319">
        <f t="shared" si="57"/>
        <v>0</v>
      </c>
      <c r="U103" s="319">
        <f t="shared" si="57"/>
        <v>-16306</v>
      </c>
      <c r="V103" s="319">
        <f t="shared" si="57"/>
        <v>0</v>
      </c>
      <c r="W103" s="319">
        <f t="shared" si="57"/>
        <v>0</v>
      </c>
      <c r="X103" s="319">
        <f t="shared" si="57"/>
        <v>-500000</v>
      </c>
      <c r="Y103" s="319">
        <f t="shared" si="57"/>
        <v>0</v>
      </c>
      <c r="Z103" s="319">
        <f t="shared" si="57"/>
        <v>-1500000</v>
      </c>
      <c r="AA103" s="319">
        <f t="shared" si="57"/>
        <v>0</v>
      </c>
      <c r="AB103" s="319">
        <f t="shared" si="57"/>
        <v>-100000</v>
      </c>
      <c r="AC103" s="319">
        <f t="shared" si="57"/>
        <v>-250000</v>
      </c>
      <c r="AD103" s="319">
        <f t="shared" si="57"/>
        <v>0</v>
      </c>
      <c r="AE103" s="319">
        <f t="shared" si="57"/>
        <v>0</v>
      </c>
      <c r="AF103" s="319">
        <f t="shared" si="57"/>
        <v>0</v>
      </c>
      <c r="AG103" s="319">
        <f t="shared" si="57"/>
        <v>-1770000</v>
      </c>
      <c r="AH103" s="319">
        <f t="shared" si="57"/>
        <v>-1850000</v>
      </c>
      <c r="AI103" s="319">
        <f t="shared" si="57"/>
        <v>-770000</v>
      </c>
      <c r="AJ103" s="319">
        <f t="shared" si="57"/>
        <v>0</v>
      </c>
      <c r="AK103" s="319">
        <f t="shared" si="57"/>
        <v>0</v>
      </c>
      <c r="AL103" s="319">
        <f t="shared" si="57"/>
        <v>0</v>
      </c>
      <c r="AM103" s="319">
        <f t="shared" si="57"/>
        <v>0</v>
      </c>
      <c r="AN103" s="319">
        <f t="shared" si="57"/>
        <v>0</v>
      </c>
      <c r="AO103" s="319">
        <f t="shared" si="57"/>
        <v>11784834.424472909</v>
      </c>
      <c r="AP103" s="319">
        <f t="shared" si="57"/>
        <v>0</v>
      </c>
      <c r="AQ103" s="319">
        <f t="shared" si="57"/>
        <v>0</v>
      </c>
      <c r="AR103" s="319">
        <f t="shared" si="57"/>
        <v>0</v>
      </c>
      <c r="AS103" s="319">
        <f t="shared" si="57"/>
        <v>0</v>
      </c>
      <c r="AT103" s="319">
        <f t="shared" si="57"/>
        <v>0</v>
      </c>
      <c r="AU103" s="319">
        <f t="shared" si="57"/>
        <v>0</v>
      </c>
      <c r="AV103" s="319">
        <f t="shared" si="57"/>
        <v>0</v>
      </c>
      <c r="AW103" s="319">
        <f t="shared" si="57"/>
        <v>0</v>
      </c>
      <c r="AX103" s="319">
        <f t="shared" si="57"/>
        <v>0</v>
      </c>
      <c r="AY103" s="319">
        <f t="shared" si="57"/>
        <v>0</v>
      </c>
      <c r="AZ103" s="319">
        <f t="shared" si="57"/>
        <v>0</v>
      </c>
      <c r="BA103" s="319">
        <f t="shared" si="57"/>
        <v>0</v>
      </c>
      <c r="BB103" s="319">
        <f t="shared" si="57"/>
        <v>0</v>
      </c>
      <c r="BC103" s="319">
        <f t="shared" si="57"/>
        <v>0</v>
      </c>
      <c r="BD103" s="319">
        <f t="shared" si="57"/>
        <v>0</v>
      </c>
      <c r="BE103" s="319">
        <f t="shared" si="57"/>
        <v>0</v>
      </c>
      <c r="BF103" s="319">
        <f t="shared" si="57"/>
        <v>0</v>
      </c>
      <c r="BG103" s="319">
        <f t="shared" si="57"/>
        <v>0</v>
      </c>
      <c r="BH103" s="319">
        <f t="shared" si="57"/>
        <v>0</v>
      </c>
      <c r="BI103" s="319">
        <f t="shared" si="57"/>
        <v>0</v>
      </c>
      <c r="BJ103" s="319">
        <f t="shared" si="57"/>
        <v>0</v>
      </c>
      <c r="BK103" s="319">
        <f t="shared" si="57"/>
        <v>0</v>
      </c>
      <c r="BL103" s="319">
        <f t="shared" si="57"/>
        <v>0</v>
      </c>
      <c r="BM103" s="319">
        <f t="shared" si="57"/>
        <v>0</v>
      </c>
      <c r="BN103" s="319">
        <f t="shared" si="57"/>
        <v>0</v>
      </c>
      <c r="BO103" s="319">
        <f t="shared" si="57"/>
        <v>0</v>
      </c>
      <c r="BP103" s="319">
        <f t="shared" si="57"/>
        <v>0</v>
      </c>
      <c r="BQ103" s="319">
        <f t="shared" si="57"/>
        <v>0</v>
      </c>
      <c r="BR103" s="319">
        <f t="shared" si="57"/>
        <v>0</v>
      </c>
      <c r="BS103" s="319">
        <f t="shared" si="57"/>
        <v>0</v>
      </c>
      <c r="BT103" s="319">
        <f t="shared" si="57"/>
        <v>0</v>
      </c>
      <c r="BU103" s="319">
        <f t="shared" si="57"/>
        <v>0</v>
      </c>
      <c r="BV103" s="319">
        <f t="shared" si="57"/>
        <v>0</v>
      </c>
      <c r="BW103" s="319">
        <f t="shared" si="57"/>
        <v>0</v>
      </c>
      <c r="BX103" s="319">
        <f>BX97+BX98+BX99+BX100+BX101+BX102</f>
        <v>7492735.6460512374</v>
      </c>
    </row>
    <row r="104" spans="3:76">
      <c r="C104" s="308"/>
      <c r="D104" s="320"/>
      <c r="E104" s="321">
        <f>E103</f>
        <v>0</v>
      </c>
      <c r="F104" s="321">
        <f t="shared" ref="F104:BX104" si="58">E104+F103</f>
        <v>0</v>
      </c>
      <c r="G104" s="321">
        <f t="shared" si="58"/>
        <v>0</v>
      </c>
      <c r="H104" s="321">
        <f t="shared" si="58"/>
        <v>0</v>
      </c>
      <c r="I104" s="321">
        <f t="shared" si="58"/>
        <v>-87324</v>
      </c>
      <c r="J104" s="321">
        <f t="shared" si="58"/>
        <v>-187324</v>
      </c>
      <c r="K104" s="321">
        <f t="shared" si="58"/>
        <v>3212676</v>
      </c>
      <c r="L104" s="321">
        <f t="shared" si="58"/>
        <v>-1811824</v>
      </c>
      <c r="M104" s="321">
        <f t="shared" si="58"/>
        <v>-1812824</v>
      </c>
      <c r="N104" s="321">
        <f t="shared" si="58"/>
        <v>-1892824</v>
      </c>
      <c r="O104" s="321">
        <f t="shared" si="58"/>
        <v>-1923824</v>
      </c>
      <c r="P104" s="321">
        <f t="shared" si="58"/>
        <v>-1923824</v>
      </c>
      <c r="Q104" s="321">
        <f t="shared" si="58"/>
        <v>108313</v>
      </c>
      <c r="R104" s="321">
        <f t="shared" si="58"/>
        <v>108313</v>
      </c>
      <c r="S104" s="321">
        <f t="shared" si="58"/>
        <v>108313</v>
      </c>
      <c r="T104" s="321">
        <f t="shared" si="58"/>
        <v>108313</v>
      </c>
      <c r="U104" s="321">
        <f t="shared" si="58"/>
        <v>92007</v>
      </c>
      <c r="V104" s="321">
        <f t="shared" si="58"/>
        <v>92007</v>
      </c>
      <c r="W104" s="321">
        <f t="shared" si="58"/>
        <v>92007</v>
      </c>
      <c r="X104" s="321">
        <f t="shared" si="58"/>
        <v>-407993</v>
      </c>
      <c r="Y104" s="321">
        <f t="shared" si="58"/>
        <v>-407993</v>
      </c>
      <c r="Z104" s="321">
        <f t="shared" si="58"/>
        <v>-1907993</v>
      </c>
      <c r="AA104" s="321">
        <f t="shared" si="58"/>
        <v>-1907993</v>
      </c>
      <c r="AB104" s="321">
        <f t="shared" si="58"/>
        <v>-2007993</v>
      </c>
      <c r="AC104" s="321">
        <f t="shared" si="58"/>
        <v>-2257993</v>
      </c>
      <c r="AD104" s="321">
        <f t="shared" si="58"/>
        <v>-2257993</v>
      </c>
      <c r="AE104" s="321">
        <f t="shared" si="58"/>
        <v>-2257993</v>
      </c>
      <c r="AF104" s="321">
        <f t="shared" si="58"/>
        <v>-2257993</v>
      </c>
      <c r="AG104" s="321">
        <f t="shared" si="58"/>
        <v>-4027993</v>
      </c>
      <c r="AH104" s="321">
        <f t="shared" si="58"/>
        <v>-5877993</v>
      </c>
      <c r="AI104" s="321">
        <f t="shared" si="58"/>
        <v>-6647993</v>
      </c>
      <c r="AJ104" s="321">
        <f t="shared" si="58"/>
        <v>-6647993</v>
      </c>
      <c r="AK104" s="321">
        <f t="shared" si="58"/>
        <v>-6647993</v>
      </c>
      <c r="AL104" s="321">
        <f t="shared" si="58"/>
        <v>-6647993</v>
      </c>
      <c r="AM104" s="321">
        <f t="shared" si="58"/>
        <v>-6647993</v>
      </c>
      <c r="AN104" s="321">
        <f t="shared" si="58"/>
        <v>-6647993</v>
      </c>
      <c r="AO104" s="321">
        <f t="shared" si="58"/>
        <v>5136841.4244729094</v>
      </c>
      <c r="AP104" s="321">
        <f t="shared" si="58"/>
        <v>5136841.4244729094</v>
      </c>
      <c r="AQ104" s="321">
        <f t="shared" si="58"/>
        <v>5136841.4244729094</v>
      </c>
      <c r="AR104" s="321">
        <f t="shared" si="58"/>
        <v>5136841.4244729094</v>
      </c>
      <c r="AS104" s="321">
        <f t="shared" si="58"/>
        <v>5136841.4244729094</v>
      </c>
      <c r="AT104" s="321">
        <f t="shared" si="58"/>
        <v>5136841.4244729094</v>
      </c>
      <c r="AU104" s="321">
        <f t="shared" si="58"/>
        <v>5136841.4244729094</v>
      </c>
      <c r="AV104" s="321">
        <f t="shared" si="58"/>
        <v>5136841.4244729094</v>
      </c>
      <c r="AW104" s="321">
        <f t="shared" si="58"/>
        <v>5136841.4244729094</v>
      </c>
      <c r="AX104" s="321">
        <f t="shared" si="58"/>
        <v>5136841.4244729094</v>
      </c>
      <c r="AY104" s="321">
        <f t="shared" si="58"/>
        <v>5136841.4244729094</v>
      </c>
      <c r="AZ104" s="321">
        <f t="shared" si="58"/>
        <v>5136841.4244729094</v>
      </c>
      <c r="BA104" s="321">
        <f t="shared" si="58"/>
        <v>5136841.4244729094</v>
      </c>
      <c r="BB104" s="321">
        <f t="shared" si="58"/>
        <v>5136841.4244729094</v>
      </c>
      <c r="BC104" s="321">
        <f t="shared" si="58"/>
        <v>5136841.4244729094</v>
      </c>
      <c r="BD104" s="321">
        <f t="shared" si="58"/>
        <v>5136841.4244729094</v>
      </c>
      <c r="BE104" s="321">
        <f t="shared" si="58"/>
        <v>5136841.4244729094</v>
      </c>
      <c r="BF104" s="321">
        <f t="shared" si="58"/>
        <v>5136841.4244729094</v>
      </c>
      <c r="BG104" s="321">
        <f t="shared" si="58"/>
        <v>5136841.4244729094</v>
      </c>
      <c r="BH104" s="321">
        <f t="shared" si="58"/>
        <v>5136841.4244729094</v>
      </c>
      <c r="BI104" s="321">
        <f t="shared" si="58"/>
        <v>5136841.4244729094</v>
      </c>
      <c r="BJ104" s="321">
        <f t="shared" si="58"/>
        <v>5136841.4244729094</v>
      </c>
      <c r="BK104" s="321">
        <f t="shared" si="58"/>
        <v>5136841.4244729094</v>
      </c>
      <c r="BL104" s="321">
        <f t="shared" si="58"/>
        <v>5136841.4244729094</v>
      </c>
      <c r="BM104" s="321">
        <f t="shared" si="58"/>
        <v>5136841.4244729094</v>
      </c>
      <c r="BN104" s="321">
        <f t="shared" si="58"/>
        <v>5136841.4244729094</v>
      </c>
      <c r="BO104" s="321">
        <f t="shared" si="58"/>
        <v>5136841.4244729094</v>
      </c>
      <c r="BP104" s="321">
        <f t="shared" si="58"/>
        <v>5136841.4244729094</v>
      </c>
      <c r="BQ104" s="321">
        <f t="shared" si="58"/>
        <v>5136841.4244729094</v>
      </c>
      <c r="BR104" s="321">
        <f t="shared" si="58"/>
        <v>5136841.4244729094</v>
      </c>
      <c r="BS104" s="321">
        <f t="shared" si="58"/>
        <v>5136841.4244729094</v>
      </c>
      <c r="BT104" s="321">
        <f t="shared" si="58"/>
        <v>5136841.4244729094</v>
      </c>
      <c r="BU104" s="321">
        <f t="shared" si="58"/>
        <v>5136841.4244729094</v>
      </c>
      <c r="BV104" s="321">
        <f t="shared" si="58"/>
        <v>5136841.4244729094</v>
      </c>
      <c r="BW104" s="321">
        <f t="shared" si="58"/>
        <v>5136841.4244729094</v>
      </c>
      <c r="BX104" s="321">
        <f t="shared" si="58"/>
        <v>12629577.070524147</v>
      </c>
    </row>
    <row r="105" spans="3:76">
      <c r="C105" s="311" t="s">
        <v>261</v>
      </c>
      <c r="D105" s="322">
        <f>IRR(I103:AO103)*12</f>
        <v>0.59000838026404967</v>
      </c>
      <c r="E105" s="229"/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29"/>
      <c r="Y105" s="229"/>
      <c r="Z105" s="229"/>
      <c r="AA105" s="229"/>
      <c r="AB105" s="229"/>
      <c r="AC105" s="229"/>
      <c r="AD105" s="229"/>
      <c r="AE105" s="229"/>
      <c r="AF105" s="229"/>
      <c r="AG105" s="229"/>
      <c r="AH105" s="229"/>
      <c r="AI105" s="229"/>
      <c r="AJ105" s="229"/>
      <c r="AK105" s="229"/>
      <c r="AL105" s="229"/>
      <c r="AM105" s="229"/>
      <c r="AN105" s="229"/>
      <c r="AO105" s="229"/>
      <c r="AP105" s="229"/>
      <c r="AQ105" s="229"/>
      <c r="AR105" s="229"/>
      <c r="AS105" s="229"/>
      <c r="AT105" s="229"/>
      <c r="AU105" s="229"/>
      <c r="AV105" s="229"/>
      <c r="AW105" s="229"/>
      <c r="AX105" s="229"/>
      <c r="AY105" s="229"/>
      <c r="AZ105" s="229"/>
      <c r="BA105" s="229"/>
      <c r="BB105" s="229"/>
      <c r="BC105" s="229"/>
      <c r="BD105" s="229"/>
      <c r="BE105" s="229"/>
      <c r="BF105" s="229"/>
      <c r="BG105" s="229"/>
      <c r="BH105" s="229"/>
      <c r="BI105" s="229"/>
      <c r="BJ105" s="229"/>
      <c r="BK105" s="229"/>
      <c r="BL105" s="229"/>
      <c r="BM105" s="229"/>
      <c r="BN105" s="229"/>
      <c r="BO105" s="229"/>
      <c r="BP105" s="229"/>
      <c r="BQ105" s="229"/>
      <c r="BR105" s="229"/>
      <c r="BS105" s="229"/>
      <c r="BT105" s="229"/>
      <c r="BU105" s="229"/>
      <c r="BV105" s="229"/>
      <c r="BW105" s="229"/>
      <c r="BX105" s="229"/>
    </row>
    <row r="106" spans="3:76">
      <c r="C106" s="323" t="s">
        <v>269</v>
      </c>
      <c r="D106" s="324">
        <f>-MIN(E104:BL104)</f>
        <v>6647993</v>
      </c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29"/>
      <c r="AC106" s="229"/>
      <c r="AD106" s="229"/>
      <c r="AE106" s="229"/>
      <c r="AF106" s="229"/>
      <c r="AG106" s="229"/>
      <c r="AH106" s="229"/>
      <c r="AI106" s="229"/>
      <c r="AJ106" s="229"/>
      <c r="AK106" s="229"/>
      <c r="AL106" s="229"/>
      <c r="AM106" s="229"/>
      <c r="AN106" s="229"/>
      <c r="AO106" s="229"/>
      <c r="AP106" s="229"/>
      <c r="AQ106" s="229"/>
      <c r="AR106" s="229"/>
      <c r="AS106" s="229"/>
      <c r="AT106" s="229"/>
      <c r="AU106" s="229"/>
      <c r="AV106" s="229"/>
      <c r="AW106" s="229"/>
      <c r="AX106" s="229"/>
      <c r="AY106" s="229"/>
      <c r="AZ106" s="229"/>
      <c r="BA106" s="229"/>
      <c r="BB106" s="229"/>
      <c r="BC106" s="229"/>
      <c r="BD106" s="229"/>
      <c r="BE106" s="229"/>
      <c r="BF106" s="229"/>
      <c r="BG106" s="229"/>
      <c r="BH106" s="229"/>
      <c r="BI106" s="229"/>
      <c r="BJ106" s="229"/>
      <c r="BK106" s="229"/>
      <c r="BL106" s="229"/>
      <c r="BM106" s="229"/>
      <c r="BN106" s="229"/>
      <c r="BO106" s="229"/>
      <c r="BP106" s="229"/>
      <c r="BQ106" s="229"/>
      <c r="BR106" s="229"/>
      <c r="BS106" s="229"/>
      <c r="BT106" s="229"/>
      <c r="BU106" s="229"/>
      <c r="BV106" s="229"/>
      <c r="BW106" s="229"/>
      <c r="BX106" s="229"/>
    </row>
    <row r="107" spans="3:76">
      <c r="C107" s="311" t="s">
        <v>270</v>
      </c>
      <c r="D107" s="325">
        <f>D106</f>
        <v>6647993</v>
      </c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29"/>
      <c r="AC107" s="229"/>
      <c r="AD107" s="229"/>
      <c r="AE107" s="229"/>
      <c r="AF107" s="229"/>
      <c r="AG107" s="229"/>
      <c r="AH107" s="229"/>
      <c r="AI107" s="229"/>
      <c r="AJ107" s="229"/>
      <c r="AK107" s="229"/>
      <c r="AL107" s="229"/>
      <c r="AM107" s="229"/>
      <c r="AN107" s="229"/>
      <c r="AO107" s="229"/>
      <c r="AP107" s="229"/>
      <c r="AQ107" s="229"/>
      <c r="AR107" s="229"/>
      <c r="AS107" s="229"/>
      <c r="AT107" s="229"/>
      <c r="AU107" s="229"/>
      <c r="AV107" s="229"/>
      <c r="AW107" s="229"/>
      <c r="AX107" s="229"/>
      <c r="AY107" s="229"/>
      <c r="AZ107" s="229"/>
      <c r="BA107" s="229"/>
      <c r="BB107" s="229"/>
      <c r="BC107" s="229"/>
      <c r="BD107" s="229"/>
      <c r="BE107" s="229"/>
      <c r="BF107" s="229"/>
      <c r="BG107" s="229"/>
      <c r="BH107" s="229"/>
      <c r="BI107" s="229"/>
      <c r="BJ107" s="229"/>
      <c r="BK107" s="229"/>
      <c r="BL107" s="229"/>
      <c r="BM107" s="229"/>
      <c r="BN107" s="229"/>
      <c r="BO107" s="229"/>
      <c r="BP107" s="229"/>
      <c r="BQ107" s="229"/>
      <c r="BR107" s="229"/>
      <c r="BS107" s="229"/>
      <c r="BT107" s="229"/>
      <c r="BU107" s="229"/>
      <c r="BV107" s="229"/>
      <c r="BW107" s="229"/>
      <c r="BX107" s="229"/>
    </row>
    <row r="108" spans="3:76">
      <c r="C108" s="311" t="s">
        <v>271</v>
      </c>
      <c r="D108" s="325">
        <f>AO100+AO99</f>
        <v>5023528.4244729094</v>
      </c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29"/>
      <c r="AC108" s="229"/>
      <c r="AD108" s="229"/>
      <c r="AE108" s="229"/>
      <c r="AF108" s="229"/>
      <c r="AG108" s="229"/>
      <c r="AH108" s="229"/>
      <c r="AI108" s="229"/>
      <c r="AJ108" s="229"/>
      <c r="AK108" s="229"/>
      <c r="AL108" s="229"/>
      <c r="AM108" s="229"/>
      <c r="AN108" s="229"/>
      <c r="AO108" s="229"/>
      <c r="AP108" s="229"/>
      <c r="AQ108" s="229"/>
      <c r="AR108" s="229"/>
      <c r="AS108" s="229"/>
      <c r="AT108" s="229"/>
      <c r="AU108" s="229"/>
      <c r="AV108" s="229"/>
      <c r="AW108" s="229"/>
      <c r="AX108" s="229"/>
      <c r="AY108" s="229"/>
      <c r="AZ108" s="229"/>
      <c r="BA108" s="229"/>
      <c r="BB108" s="229"/>
      <c r="BC108" s="229"/>
      <c r="BD108" s="229"/>
      <c r="BE108" s="229"/>
      <c r="BF108" s="229"/>
      <c r="BG108" s="229"/>
      <c r="BH108" s="229"/>
      <c r="BI108" s="229"/>
      <c r="BJ108" s="229"/>
      <c r="BK108" s="229"/>
      <c r="BL108" s="229"/>
      <c r="BM108" s="229"/>
      <c r="BN108" s="229"/>
      <c r="BO108" s="229"/>
      <c r="BP108" s="229"/>
      <c r="BQ108" s="229"/>
      <c r="BR108" s="229"/>
      <c r="BS108" s="229"/>
      <c r="BT108" s="229"/>
      <c r="BU108" s="229"/>
      <c r="BV108" s="229"/>
      <c r="BW108" s="229"/>
      <c r="BX108" s="229"/>
    </row>
    <row r="109" spans="3:76">
      <c r="C109" s="311" t="s">
        <v>272</v>
      </c>
      <c r="D109" s="322">
        <f>D108/D107</f>
        <v>0.75564586552255841</v>
      </c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29"/>
      <c r="AC109" s="229"/>
      <c r="AD109" s="229"/>
      <c r="AE109" s="229"/>
      <c r="AF109" s="229"/>
      <c r="AG109" s="229"/>
      <c r="AH109" s="229"/>
      <c r="AI109" s="229"/>
      <c r="AJ109" s="229"/>
      <c r="AK109" s="229"/>
      <c r="AL109" s="229"/>
      <c r="AM109" s="229"/>
      <c r="AN109" s="229"/>
      <c r="AO109" s="229"/>
      <c r="AP109" s="229"/>
      <c r="AQ109" s="229"/>
      <c r="AR109" s="229"/>
      <c r="AS109" s="229"/>
      <c r="AT109" s="229"/>
      <c r="AU109" s="229"/>
      <c r="AV109" s="229"/>
      <c r="AW109" s="229"/>
      <c r="AX109" s="229"/>
      <c r="AY109" s="229"/>
      <c r="AZ109" s="229"/>
      <c r="BA109" s="229"/>
      <c r="BB109" s="229"/>
      <c r="BC109" s="229"/>
      <c r="BD109" s="229"/>
      <c r="BE109" s="229"/>
      <c r="BF109" s="229"/>
      <c r="BG109" s="229"/>
      <c r="BH109" s="229"/>
      <c r="BI109" s="229"/>
      <c r="BJ109" s="229"/>
      <c r="BK109" s="229"/>
      <c r="BL109" s="229"/>
      <c r="BM109" s="229"/>
      <c r="BN109" s="229"/>
      <c r="BO109" s="229"/>
      <c r="BP109" s="229"/>
      <c r="BQ109" s="229"/>
      <c r="BR109" s="229"/>
      <c r="BS109" s="229"/>
      <c r="BT109" s="229"/>
      <c r="BU109" s="229"/>
      <c r="BV109" s="229"/>
      <c r="BW109" s="229"/>
      <c r="BX109" s="229"/>
    </row>
    <row r="113" spans="3:76">
      <c r="C113" s="308" t="s">
        <v>273</v>
      </c>
      <c r="D113" s="309"/>
      <c r="E113" s="309">
        <f t="shared" ref="E113:BX113" si="59">-(E6+E75)</f>
        <v>0</v>
      </c>
      <c r="F113" s="309">
        <f t="shared" si="59"/>
        <v>0</v>
      </c>
      <c r="G113" s="309">
        <f t="shared" si="59"/>
        <v>0</v>
      </c>
      <c r="H113" s="309">
        <f t="shared" si="59"/>
        <v>0</v>
      </c>
      <c r="I113" s="309">
        <f t="shared" si="59"/>
        <v>0</v>
      </c>
      <c r="J113" s="309">
        <f t="shared" si="59"/>
        <v>0</v>
      </c>
      <c r="K113" s="309">
        <f t="shared" si="59"/>
        <v>0</v>
      </c>
      <c r="L113" s="309">
        <f t="shared" si="59"/>
        <v>0</v>
      </c>
      <c r="M113" s="309">
        <f t="shared" si="59"/>
        <v>0</v>
      </c>
      <c r="N113" s="309">
        <f t="shared" si="59"/>
        <v>0</v>
      </c>
      <c r="O113" s="309">
        <f t="shared" si="59"/>
        <v>0</v>
      </c>
      <c r="P113" s="309">
        <f t="shared" si="59"/>
        <v>-3994008</v>
      </c>
      <c r="Q113" s="309">
        <f t="shared" si="59"/>
        <v>0</v>
      </c>
      <c r="R113" s="309">
        <f t="shared" si="59"/>
        <v>0</v>
      </c>
      <c r="S113" s="309">
        <f t="shared" si="59"/>
        <v>-560000</v>
      </c>
      <c r="T113" s="309">
        <f t="shared" si="59"/>
        <v>0</v>
      </c>
      <c r="U113" s="309">
        <f t="shared" si="59"/>
        <v>-3083694</v>
      </c>
      <c r="V113" s="309">
        <f t="shared" si="59"/>
        <v>0</v>
      </c>
      <c r="W113" s="309">
        <f t="shared" si="59"/>
        <v>0</v>
      </c>
      <c r="X113" s="309">
        <f t="shared" si="59"/>
        <v>0</v>
      </c>
      <c r="Y113" s="309">
        <f t="shared" si="59"/>
        <v>0</v>
      </c>
      <c r="Z113" s="309">
        <f t="shared" si="59"/>
        <v>0</v>
      </c>
      <c r="AA113" s="309">
        <f t="shared" si="59"/>
        <v>0</v>
      </c>
      <c r="AB113" s="309">
        <f t="shared" si="59"/>
        <v>-400000</v>
      </c>
      <c r="AC113" s="309">
        <f t="shared" si="59"/>
        <v>-1000000</v>
      </c>
      <c r="AD113" s="309">
        <f t="shared" si="59"/>
        <v>0</v>
      </c>
      <c r="AE113" s="309">
        <f t="shared" si="59"/>
        <v>0</v>
      </c>
      <c r="AF113" s="309">
        <f t="shared" si="59"/>
        <v>0</v>
      </c>
      <c r="AG113" s="309">
        <f t="shared" si="59"/>
        <v>-7080000</v>
      </c>
      <c r="AH113" s="309">
        <f t="shared" si="59"/>
        <v>-7400000</v>
      </c>
      <c r="AI113" s="309">
        <f t="shared" si="59"/>
        <v>-3080000</v>
      </c>
      <c r="AJ113" s="309">
        <f t="shared" si="59"/>
        <v>0</v>
      </c>
      <c r="AK113" s="309">
        <f t="shared" si="59"/>
        <v>0</v>
      </c>
      <c r="AL113" s="309">
        <f t="shared" si="59"/>
        <v>0</v>
      </c>
      <c r="AM113" s="309">
        <f t="shared" si="59"/>
        <v>0</v>
      </c>
      <c r="AN113" s="309">
        <f t="shared" si="59"/>
        <v>0</v>
      </c>
      <c r="AO113" s="309">
        <f t="shared" si="59"/>
        <v>26597702</v>
      </c>
      <c r="AP113" s="309">
        <f t="shared" si="59"/>
        <v>0</v>
      </c>
      <c r="AQ113" s="309">
        <f t="shared" si="59"/>
        <v>0</v>
      </c>
      <c r="AR113" s="309">
        <f t="shared" si="59"/>
        <v>0</v>
      </c>
      <c r="AS113" s="309">
        <f t="shared" si="59"/>
        <v>0</v>
      </c>
      <c r="AT113" s="309">
        <f t="shared" si="59"/>
        <v>0</v>
      </c>
      <c r="AU113" s="309">
        <f t="shared" si="59"/>
        <v>0</v>
      </c>
      <c r="AV113" s="309">
        <f t="shared" si="59"/>
        <v>0</v>
      </c>
      <c r="AW113" s="309">
        <f t="shared" si="59"/>
        <v>0</v>
      </c>
      <c r="AX113" s="309">
        <f t="shared" si="59"/>
        <v>0</v>
      </c>
      <c r="AY113" s="309">
        <f t="shared" si="59"/>
        <v>0</v>
      </c>
      <c r="AZ113" s="309">
        <f t="shared" si="59"/>
        <v>0</v>
      </c>
      <c r="BA113" s="309">
        <f t="shared" si="59"/>
        <v>0</v>
      </c>
      <c r="BB113" s="309">
        <f t="shared" si="59"/>
        <v>0</v>
      </c>
      <c r="BC113" s="309">
        <f t="shared" si="59"/>
        <v>0</v>
      </c>
      <c r="BD113" s="309">
        <f t="shared" si="59"/>
        <v>0</v>
      </c>
      <c r="BE113" s="309">
        <f t="shared" si="59"/>
        <v>0</v>
      </c>
      <c r="BF113" s="309">
        <f t="shared" si="59"/>
        <v>0</v>
      </c>
      <c r="BG113" s="309">
        <f t="shared" si="59"/>
        <v>0</v>
      </c>
      <c r="BH113" s="309">
        <f t="shared" si="59"/>
        <v>0</v>
      </c>
      <c r="BI113" s="309">
        <f t="shared" si="59"/>
        <v>0</v>
      </c>
      <c r="BJ113" s="309">
        <f t="shared" si="59"/>
        <v>0</v>
      </c>
      <c r="BK113" s="309">
        <f t="shared" si="59"/>
        <v>0</v>
      </c>
      <c r="BL113" s="309">
        <f t="shared" si="59"/>
        <v>0</v>
      </c>
      <c r="BM113" s="309">
        <f t="shared" si="59"/>
        <v>0</v>
      </c>
      <c r="BN113" s="309">
        <f t="shared" si="59"/>
        <v>0</v>
      </c>
      <c r="BO113" s="309">
        <f t="shared" si="59"/>
        <v>0</v>
      </c>
      <c r="BP113" s="309">
        <f t="shared" si="59"/>
        <v>0</v>
      </c>
      <c r="BQ113" s="309">
        <f t="shared" si="59"/>
        <v>0</v>
      </c>
      <c r="BR113" s="309">
        <f t="shared" si="59"/>
        <v>0</v>
      </c>
      <c r="BS113" s="309">
        <f t="shared" si="59"/>
        <v>0</v>
      </c>
      <c r="BT113" s="309">
        <f t="shared" si="59"/>
        <v>0</v>
      </c>
      <c r="BU113" s="309">
        <f t="shared" si="59"/>
        <v>0</v>
      </c>
      <c r="BV113" s="309">
        <f t="shared" si="59"/>
        <v>0</v>
      </c>
      <c r="BW113" s="309">
        <f t="shared" si="59"/>
        <v>0</v>
      </c>
      <c r="BX113" s="309">
        <f t="shared" si="59"/>
        <v>0</v>
      </c>
    </row>
    <row r="114" spans="3:76" outlineLevel="1">
      <c r="C114" s="308" t="s">
        <v>274</v>
      </c>
      <c r="D114" s="317"/>
      <c r="E114" s="309"/>
      <c r="F114" s="309"/>
      <c r="G114" s="309"/>
      <c r="H114" s="309"/>
      <c r="I114" s="309"/>
      <c r="J114" s="309"/>
      <c r="K114" s="309"/>
      <c r="L114" s="309"/>
      <c r="M114" s="309"/>
      <c r="N114" s="309"/>
      <c r="O114" s="309"/>
      <c r="P114" s="309"/>
      <c r="Q114" s="309"/>
      <c r="R114" s="309"/>
      <c r="S114" s="309"/>
      <c r="T114" s="309"/>
      <c r="U114" s="309"/>
      <c r="V114" s="309"/>
      <c r="W114" s="309"/>
      <c r="X114" s="309"/>
      <c r="Y114" s="309"/>
      <c r="Z114" s="309"/>
      <c r="AA114" s="309"/>
      <c r="AB114" s="309"/>
      <c r="AC114" s="309"/>
      <c r="AD114" s="309"/>
      <c r="AE114" s="309"/>
      <c r="AF114" s="309"/>
      <c r="AG114" s="309"/>
      <c r="AH114" s="309"/>
      <c r="AI114" s="309"/>
      <c r="AJ114" s="309"/>
      <c r="AK114" s="309"/>
      <c r="AL114" s="309"/>
      <c r="AM114" s="309"/>
      <c r="AN114" s="309"/>
      <c r="AO114" s="309"/>
      <c r="AP114" s="309"/>
      <c r="AQ114" s="309"/>
      <c r="AR114" s="309"/>
      <c r="AS114" s="309"/>
      <c r="AT114" s="309"/>
      <c r="AU114" s="309"/>
      <c r="AV114" s="309"/>
      <c r="AW114" s="309"/>
      <c r="AX114" s="309"/>
      <c r="AY114" s="309"/>
      <c r="AZ114" s="309"/>
      <c r="BA114" s="309"/>
      <c r="BB114" s="309"/>
      <c r="BC114" s="309"/>
      <c r="BD114" s="309"/>
      <c r="BE114" s="309"/>
      <c r="BF114" s="309"/>
      <c r="BG114" s="309"/>
      <c r="BH114" s="309"/>
      <c r="BI114" s="309"/>
      <c r="BJ114" s="309"/>
      <c r="BK114" s="309"/>
      <c r="BL114" s="309"/>
      <c r="BM114" s="309"/>
      <c r="BN114" s="309"/>
      <c r="BO114" s="309"/>
      <c r="BP114" s="309"/>
      <c r="BQ114" s="309"/>
      <c r="BR114" s="309"/>
      <c r="BS114" s="309"/>
      <c r="BT114" s="309"/>
      <c r="BU114" s="309"/>
      <c r="BV114" s="309"/>
      <c r="BW114" s="309"/>
      <c r="BX114" s="309"/>
    </row>
    <row r="115" spans="3:76" outlineLevel="1">
      <c r="C115" s="308" t="s">
        <v>265</v>
      </c>
      <c r="D115" s="317"/>
      <c r="E115" s="309">
        <f t="shared" ref="E115:BX115" si="60">-E56</f>
        <v>0</v>
      </c>
      <c r="F115" s="309">
        <f t="shared" si="60"/>
        <v>0</v>
      </c>
      <c r="G115" s="309">
        <f t="shared" si="60"/>
        <v>0</v>
      </c>
      <c r="H115" s="309">
        <f t="shared" si="60"/>
        <v>0</v>
      </c>
      <c r="I115" s="309">
        <f t="shared" si="60"/>
        <v>0</v>
      </c>
      <c r="J115" s="309">
        <f t="shared" si="60"/>
        <v>0</v>
      </c>
      <c r="K115" s="309">
        <f t="shared" si="60"/>
        <v>0</v>
      </c>
      <c r="L115" s="309">
        <f t="shared" si="60"/>
        <v>0</v>
      </c>
      <c r="M115" s="309">
        <f t="shared" si="60"/>
        <v>0</v>
      </c>
      <c r="N115" s="309">
        <f t="shared" si="60"/>
        <v>0</v>
      </c>
      <c r="O115" s="309">
        <f t="shared" si="60"/>
        <v>0</v>
      </c>
      <c r="P115" s="309">
        <f t="shared" si="60"/>
        <v>0</v>
      </c>
      <c r="Q115" s="309">
        <f t="shared" si="60"/>
        <v>0</v>
      </c>
      <c r="R115" s="309">
        <f t="shared" si="60"/>
        <v>0</v>
      </c>
      <c r="S115" s="309">
        <f t="shared" si="60"/>
        <v>0</v>
      </c>
      <c r="T115" s="309">
        <f t="shared" si="60"/>
        <v>0</v>
      </c>
      <c r="U115" s="309">
        <f t="shared" si="60"/>
        <v>0</v>
      </c>
      <c r="V115" s="309">
        <f t="shared" si="60"/>
        <v>0</v>
      </c>
      <c r="W115" s="309">
        <f t="shared" si="60"/>
        <v>0</v>
      </c>
      <c r="X115" s="309">
        <f t="shared" si="60"/>
        <v>0</v>
      </c>
      <c r="Y115" s="309">
        <f t="shared" si="60"/>
        <v>0</v>
      </c>
      <c r="Z115" s="309">
        <f t="shared" si="60"/>
        <v>0</v>
      </c>
      <c r="AA115" s="309">
        <f t="shared" si="60"/>
        <v>0</v>
      </c>
      <c r="AB115" s="309">
        <f t="shared" si="60"/>
        <v>0</v>
      </c>
      <c r="AC115" s="309">
        <f t="shared" si="60"/>
        <v>0</v>
      </c>
      <c r="AD115" s="309">
        <f t="shared" si="60"/>
        <v>0</v>
      </c>
      <c r="AE115" s="309">
        <f t="shared" si="60"/>
        <v>0</v>
      </c>
      <c r="AF115" s="309">
        <f t="shared" si="60"/>
        <v>0</v>
      </c>
      <c r="AG115" s="309">
        <f t="shared" si="60"/>
        <v>0</v>
      </c>
      <c r="AH115" s="309">
        <f t="shared" si="60"/>
        <v>0</v>
      </c>
      <c r="AI115" s="309">
        <f t="shared" si="60"/>
        <v>0</v>
      </c>
      <c r="AJ115" s="309">
        <f t="shared" si="60"/>
        <v>0</v>
      </c>
      <c r="AK115" s="309">
        <f t="shared" si="60"/>
        <v>0</v>
      </c>
      <c r="AL115" s="309">
        <f t="shared" si="60"/>
        <v>0</v>
      </c>
      <c r="AM115" s="309">
        <f t="shared" si="60"/>
        <v>0</v>
      </c>
      <c r="AN115" s="309">
        <f t="shared" si="60"/>
        <v>0</v>
      </c>
      <c r="AO115" s="309">
        <f t="shared" si="60"/>
        <v>3566220.0200000014</v>
      </c>
      <c r="AP115" s="309">
        <f t="shared" si="60"/>
        <v>0</v>
      </c>
      <c r="AQ115" s="309">
        <f t="shared" si="60"/>
        <v>0</v>
      </c>
      <c r="AR115" s="309">
        <f t="shared" si="60"/>
        <v>0</v>
      </c>
      <c r="AS115" s="309">
        <f t="shared" si="60"/>
        <v>0</v>
      </c>
      <c r="AT115" s="309">
        <f t="shared" si="60"/>
        <v>0</v>
      </c>
      <c r="AU115" s="309">
        <f t="shared" si="60"/>
        <v>0</v>
      </c>
      <c r="AV115" s="309">
        <f t="shared" si="60"/>
        <v>0</v>
      </c>
      <c r="AW115" s="309">
        <f t="shared" si="60"/>
        <v>0</v>
      </c>
      <c r="AX115" s="309">
        <f t="shared" si="60"/>
        <v>0</v>
      </c>
      <c r="AY115" s="309">
        <f t="shared" si="60"/>
        <v>0</v>
      </c>
      <c r="AZ115" s="309">
        <f t="shared" si="60"/>
        <v>0</v>
      </c>
      <c r="BA115" s="309">
        <f t="shared" si="60"/>
        <v>0</v>
      </c>
      <c r="BB115" s="309">
        <f t="shared" si="60"/>
        <v>0</v>
      </c>
      <c r="BC115" s="309">
        <f t="shared" si="60"/>
        <v>0</v>
      </c>
      <c r="BD115" s="309">
        <f t="shared" si="60"/>
        <v>0</v>
      </c>
      <c r="BE115" s="309">
        <f t="shared" si="60"/>
        <v>0</v>
      </c>
      <c r="BF115" s="309">
        <f t="shared" si="60"/>
        <v>0</v>
      </c>
      <c r="BG115" s="309">
        <f t="shared" si="60"/>
        <v>0</v>
      </c>
      <c r="BH115" s="309">
        <f t="shared" si="60"/>
        <v>0</v>
      </c>
      <c r="BI115" s="309">
        <f t="shared" si="60"/>
        <v>0</v>
      </c>
      <c r="BJ115" s="309">
        <f t="shared" si="60"/>
        <v>0</v>
      </c>
      <c r="BK115" s="309">
        <f t="shared" si="60"/>
        <v>0</v>
      </c>
      <c r="BL115" s="309">
        <f t="shared" si="60"/>
        <v>0</v>
      </c>
      <c r="BM115" s="309">
        <f t="shared" si="60"/>
        <v>0</v>
      </c>
      <c r="BN115" s="309">
        <f t="shared" si="60"/>
        <v>0</v>
      </c>
      <c r="BO115" s="309">
        <f t="shared" si="60"/>
        <v>0</v>
      </c>
      <c r="BP115" s="309">
        <f t="shared" si="60"/>
        <v>0</v>
      </c>
      <c r="BQ115" s="309">
        <f t="shared" si="60"/>
        <v>0</v>
      </c>
      <c r="BR115" s="309">
        <f t="shared" si="60"/>
        <v>0</v>
      </c>
      <c r="BS115" s="309">
        <f t="shared" si="60"/>
        <v>0</v>
      </c>
      <c r="BT115" s="309">
        <f t="shared" si="60"/>
        <v>0</v>
      </c>
      <c r="BU115" s="309">
        <f t="shared" si="60"/>
        <v>0</v>
      </c>
      <c r="BV115" s="309">
        <f t="shared" si="60"/>
        <v>0</v>
      </c>
      <c r="BW115" s="309">
        <f t="shared" si="60"/>
        <v>0</v>
      </c>
      <c r="BX115" s="309">
        <f t="shared" si="60"/>
        <v>0</v>
      </c>
    </row>
    <row r="116" spans="3:76" outlineLevel="1">
      <c r="C116" s="308" t="s">
        <v>266</v>
      </c>
      <c r="D116" s="317"/>
      <c r="E116" s="309"/>
      <c r="F116" s="309"/>
      <c r="G116" s="309"/>
      <c r="H116" s="309"/>
      <c r="I116" s="309"/>
      <c r="J116" s="309"/>
      <c r="K116" s="309"/>
      <c r="L116" s="309"/>
      <c r="M116" s="309"/>
      <c r="N116" s="309"/>
      <c r="O116" s="309"/>
      <c r="P116" s="309"/>
      <c r="Q116" s="309"/>
      <c r="R116" s="309"/>
      <c r="S116" s="309"/>
      <c r="T116" s="309"/>
      <c r="U116" s="309"/>
      <c r="V116" s="309"/>
      <c r="W116" s="309"/>
      <c r="X116" s="309"/>
      <c r="Y116" s="309"/>
      <c r="Z116" s="309"/>
      <c r="AA116" s="309"/>
      <c r="AB116" s="309"/>
      <c r="AC116" s="309"/>
      <c r="AD116" s="309"/>
      <c r="AE116" s="309"/>
      <c r="AF116" s="309"/>
      <c r="AG116" s="309"/>
      <c r="AH116" s="309"/>
      <c r="AI116" s="309"/>
      <c r="AJ116" s="309"/>
      <c r="AK116" s="309"/>
      <c r="AL116" s="309"/>
      <c r="AM116" s="309"/>
      <c r="AN116" s="309"/>
      <c r="AO116" s="309"/>
      <c r="AP116" s="309"/>
      <c r="AQ116" s="309"/>
      <c r="AR116" s="309"/>
      <c r="AS116" s="309"/>
      <c r="AT116" s="309"/>
      <c r="AU116" s="309"/>
      <c r="AV116" s="309"/>
      <c r="AW116" s="309"/>
      <c r="AX116" s="309"/>
      <c r="AY116" s="309"/>
      <c r="AZ116" s="309"/>
      <c r="BA116" s="309"/>
      <c r="BB116" s="309"/>
      <c r="BC116" s="309"/>
      <c r="BD116" s="309"/>
      <c r="BE116" s="309"/>
      <c r="BF116" s="309"/>
      <c r="BG116" s="309"/>
      <c r="BH116" s="309"/>
      <c r="BI116" s="309"/>
      <c r="BJ116" s="309"/>
      <c r="BK116" s="309"/>
      <c r="BL116" s="309"/>
      <c r="BM116" s="309"/>
      <c r="BN116" s="309"/>
      <c r="BO116" s="309"/>
      <c r="BP116" s="309"/>
      <c r="BQ116" s="309"/>
      <c r="BR116" s="309"/>
      <c r="BS116" s="309"/>
      <c r="BT116" s="309"/>
      <c r="BU116" s="309"/>
      <c r="BV116" s="309"/>
      <c r="BW116" s="309"/>
      <c r="BX116" s="309">
        <f>IF(D90&gt;0.25,(BX84-BX93)*D117,BX84*D117)</f>
        <v>13320418.926313311</v>
      </c>
    </row>
    <row r="117" spans="3:76" outlineLevel="1">
      <c r="C117" s="311" t="s">
        <v>267</v>
      </c>
      <c r="D117" s="317">
        <f>1-D102</f>
        <v>0.8</v>
      </c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0"/>
      <c r="Y117" s="250"/>
      <c r="Z117" s="250"/>
      <c r="AA117" s="250"/>
      <c r="AB117" s="250"/>
      <c r="AC117" s="250"/>
      <c r="AD117" s="250"/>
      <c r="AE117" s="250"/>
      <c r="AF117" s="250"/>
      <c r="AG117" s="250"/>
      <c r="AH117" s="250"/>
      <c r="AI117" s="250"/>
      <c r="AJ117" s="250"/>
      <c r="AK117" s="250"/>
      <c r="AL117" s="250"/>
      <c r="AM117" s="250"/>
      <c r="AN117" s="250"/>
      <c r="AO117" s="250">
        <f>AO84*$D$117</f>
        <v>16650523.657891639</v>
      </c>
      <c r="AP117" s="250"/>
      <c r="AQ117" s="250"/>
      <c r="AR117" s="250"/>
      <c r="AS117" s="250"/>
      <c r="AT117" s="250"/>
      <c r="AU117" s="250"/>
      <c r="AV117" s="250"/>
      <c r="AW117" s="250"/>
      <c r="AX117" s="250"/>
      <c r="AY117" s="250"/>
      <c r="AZ117" s="250"/>
      <c r="BA117" s="250"/>
      <c r="BB117" s="250"/>
      <c r="BC117" s="250"/>
      <c r="BD117" s="250"/>
      <c r="BE117" s="250"/>
      <c r="BF117" s="250"/>
      <c r="BG117" s="250"/>
      <c r="BH117" s="250"/>
      <c r="BI117" s="250"/>
      <c r="BJ117" s="250"/>
      <c r="BK117" s="250"/>
      <c r="BL117" s="250"/>
      <c r="BM117" s="250"/>
      <c r="BN117" s="250"/>
      <c r="BO117" s="250"/>
      <c r="BP117" s="250"/>
      <c r="BQ117" s="250"/>
      <c r="BR117" s="250"/>
      <c r="BS117" s="250"/>
      <c r="BT117" s="250"/>
      <c r="BU117" s="250"/>
      <c r="BV117" s="250"/>
      <c r="BW117" s="250"/>
      <c r="BX117" s="250"/>
    </row>
    <row r="118" spans="3:76" outlineLevel="1">
      <c r="C118" s="308" t="s">
        <v>268</v>
      </c>
      <c r="D118" s="309"/>
      <c r="E118" s="319">
        <f t="shared" ref="E118:BX118" si="61">E113+E114+E115+E116+E117</f>
        <v>0</v>
      </c>
      <c r="F118" s="319">
        <f t="shared" si="61"/>
        <v>0</v>
      </c>
      <c r="G118" s="319">
        <f t="shared" si="61"/>
        <v>0</v>
      </c>
      <c r="H118" s="319">
        <f t="shared" si="61"/>
        <v>0</v>
      </c>
      <c r="I118" s="319">
        <f t="shared" si="61"/>
        <v>0</v>
      </c>
      <c r="J118" s="319">
        <f t="shared" si="61"/>
        <v>0</v>
      </c>
      <c r="K118" s="319">
        <f t="shared" si="61"/>
        <v>0</v>
      </c>
      <c r="L118" s="319">
        <f t="shared" si="61"/>
        <v>0</v>
      </c>
      <c r="M118" s="319">
        <f t="shared" si="61"/>
        <v>0</v>
      </c>
      <c r="N118" s="319">
        <f t="shared" si="61"/>
        <v>0</v>
      </c>
      <c r="O118" s="319">
        <f t="shared" si="61"/>
        <v>0</v>
      </c>
      <c r="P118" s="319">
        <f t="shared" si="61"/>
        <v>-3994008</v>
      </c>
      <c r="Q118" s="319">
        <f t="shared" si="61"/>
        <v>0</v>
      </c>
      <c r="R118" s="319">
        <f t="shared" si="61"/>
        <v>0</v>
      </c>
      <c r="S118" s="319">
        <f t="shared" si="61"/>
        <v>-560000</v>
      </c>
      <c r="T118" s="319">
        <f t="shared" si="61"/>
        <v>0</v>
      </c>
      <c r="U118" s="319">
        <f t="shared" si="61"/>
        <v>-3083694</v>
      </c>
      <c r="V118" s="319">
        <f t="shared" si="61"/>
        <v>0</v>
      </c>
      <c r="W118" s="319">
        <f t="shared" si="61"/>
        <v>0</v>
      </c>
      <c r="X118" s="319">
        <f t="shared" si="61"/>
        <v>0</v>
      </c>
      <c r="Y118" s="319">
        <f t="shared" si="61"/>
        <v>0</v>
      </c>
      <c r="Z118" s="319">
        <f t="shared" si="61"/>
        <v>0</v>
      </c>
      <c r="AA118" s="319">
        <f t="shared" si="61"/>
        <v>0</v>
      </c>
      <c r="AB118" s="319">
        <f t="shared" si="61"/>
        <v>-400000</v>
      </c>
      <c r="AC118" s="319">
        <f t="shared" si="61"/>
        <v>-1000000</v>
      </c>
      <c r="AD118" s="319">
        <f t="shared" si="61"/>
        <v>0</v>
      </c>
      <c r="AE118" s="319">
        <f t="shared" si="61"/>
        <v>0</v>
      </c>
      <c r="AF118" s="319">
        <f t="shared" si="61"/>
        <v>0</v>
      </c>
      <c r="AG118" s="319">
        <f t="shared" si="61"/>
        <v>-7080000</v>
      </c>
      <c r="AH118" s="319">
        <f t="shared" si="61"/>
        <v>-7400000</v>
      </c>
      <c r="AI118" s="319">
        <f t="shared" si="61"/>
        <v>-3080000</v>
      </c>
      <c r="AJ118" s="319">
        <f t="shared" si="61"/>
        <v>0</v>
      </c>
      <c r="AK118" s="319">
        <f t="shared" si="61"/>
        <v>0</v>
      </c>
      <c r="AL118" s="319">
        <f t="shared" si="61"/>
        <v>0</v>
      </c>
      <c r="AM118" s="319">
        <f t="shared" si="61"/>
        <v>0</v>
      </c>
      <c r="AN118" s="319">
        <f t="shared" si="61"/>
        <v>0</v>
      </c>
      <c r="AO118" s="319">
        <f t="shared" si="61"/>
        <v>46814445.677891642</v>
      </c>
      <c r="AP118" s="319">
        <f t="shared" si="61"/>
        <v>0</v>
      </c>
      <c r="AQ118" s="319">
        <f t="shared" si="61"/>
        <v>0</v>
      </c>
      <c r="AR118" s="319">
        <f t="shared" si="61"/>
        <v>0</v>
      </c>
      <c r="AS118" s="319">
        <f t="shared" si="61"/>
        <v>0</v>
      </c>
      <c r="AT118" s="319">
        <f t="shared" si="61"/>
        <v>0</v>
      </c>
      <c r="AU118" s="319">
        <f t="shared" si="61"/>
        <v>0</v>
      </c>
      <c r="AV118" s="319">
        <f t="shared" si="61"/>
        <v>0</v>
      </c>
      <c r="AW118" s="319">
        <f t="shared" si="61"/>
        <v>0</v>
      </c>
      <c r="AX118" s="319">
        <f t="shared" si="61"/>
        <v>0</v>
      </c>
      <c r="AY118" s="319">
        <f t="shared" si="61"/>
        <v>0</v>
      </c>
      <c r="AZ118" s="319">
        <f t="shared" si="61"/>
        <v>0</v>
      </c>
      <c r="BA118" s="319">
        <f t="shared" si="61"/>
        <v>0</v>
      </c>
      <c r="BB118" s="319">
        <f t="shared" si="61"/>
        <v>0</v>
      </c>
      <c r="BC118" s="319">
        <f t="shared" si="61"/>
        <v>0</v>
      </c>
      <c r="BD118" s="319">
        <f t="shared" si="61"/>
        <v>0</v>
      </c>
      <c r="BE118" s="319">
        <f t="shared" si="61"/>
        <v>0</v>
      </c>
      <c r="BF118" s="319">
        <f t="shared" si="61"/>
        <v>0</v>
      </c>
      <c r="BG118" s="319">
        <f t="shared" si="61"/>
        <v>0</v>
      </c>
      <c r="BH118" s="319">
        <f t="shared" si="61"/>
        <v>0</v>
      </c>
      <c r="BI118" s="319">
        <f t="shared" si="61"/>
        <v>0</v>
      </c>
      <c r="BJ118" s="319">
        <f t="shared" si="61"/>
        <v>0</v>
      </c>
      <c r="BK118" s="319">
        <f t="shared" si="61"/>
        <v>0</v>
      </c>
      <c r="BL118" s="319">
        <f t="shared" si="61"/>
        <v>0</v>
      </c>
      <c r="BM118" s="319">
        <f t="shared" si="61"/>
        <v>0</v>
      </c>
      <c r="BN118" s="319">
        <f t="shared" si="61"/>
        <v>0</v>
      </c>
      <c r="BO118" s="319">
        <f t="shared" si="61"/>
        <v>0</v>
      </c>
      <c r="BP118" s="319">
        <f t="shared" si="61"/>
        <v>0</v>
      </c>
      <c r="BQ118" s="319">
        <f t="shared" si="61"/>
        <v>0</v>
      </c>
      <c r="BR118" s="319">
        <f t="shared" si="61"/>
        <v>0</v>
      </c>
      <c r="BS118" s="319">
        <f t="shared" si="61"/>
        <v>0</v>
      </c>
      <c r="BT118" s="319">
        <f t="shared" si="61"/>
        <v>0</v>
      </c>
      <c r="BU118" s="319">
        <f t="shared" si="61"/>
        <v>0</v>
      </c>
      <c r="BV118" s="319">
        <f t="shared" si="61"/>
        <v>0</v>
      </c>
      <c r="BW118" s="319">
        <f t="shared" si="61"/>
        <v>0</v>
      </c>
      <c r="BX118" s="319">
        <f t="shared" si="61"/>
        <v>13320418.926313311</v>
      </c>
    </row>
    <row r="119" spans="3:76" outlineLevel="1">
      <c r="C119" s="312"/>
      <c r="D119" s="322" t="s">
        <v>275</v>
      </c>
      <c r="E119" s="321">
        <f>E118</f>
        <v>0</v>
      </c>
      <c r="F119" s="321">
        <f t="shared" ref="F119:BX119" si="62">E119+F118</f>
        <v>0</v>
      </c>
      <c r="G119" s="321">
        <f t="shared" si="62"/>
        <v>0</v>
      </c>
      <c r="H119" s="321">
        <f t="shared" si="62"/>
        <v>0</v>
      </c>
      <c r="I119" s="321">
        <f t="shared" si="62"/>
        <v>0</v>
      </c>
      <c r="J119" s="321">
        <f t="shared" si="62"/>
        <v>0</v>
      </c>
      <c r="K119" s="321">
        <f t="shared" si="62"/>
        <v>0</v>
      </c>
      <c r="L119" s="321">
        <f t="shared" si="62"/>
        <v>0</v>
      </c>
      <c r="M119" s="321">
        <f t="shared" si="62"/>
        <v>0</v>
      </c>
      <c r="N119" s="321">
        <f t="shared" si="62"/>
        <v>0</v>
      </c>
      <c r="O119" s="321">
        <f t="shared" si="62"/>
        <v>0</v>
      </c>
      <c r="P119" s="321">
        <f t="shared" si="62"/>
        <v>-3994008</v>
      </c>
      <c r="Q119" s="321">
        <f t="shared" si="62"/>
        <v>-3994008</v>
      </c>
      <c r="R119" s="321">
        <f t="shared" si="62"/>
        <v>-3994008</v>
      </c>
      <c r="S119" s="321">
        <f t="shared" si="62"/>
        <v>-4554008</v>
      </c>
      <c r="T119" s="321">
        <f t="shared" si="62"/>
        <v>-4554008</v>
      </c>
      <c r="U119" s="321">
        <f t="shared" si="62"/>
        <v>-7637702</v>
      </c>
      <c r="V119" s="321">
        <f t="shared" si="62"/>
        <v>-7637702</v>
      </c>
      <c r="W119" s="321">
        <f t="shared" si="62"/>
        <v>-7637702</v>
      </c>
      <c r="X119" s="321">
        <f t="shared" si="62"/>
        <v>-7637702</v>
      </c>
      <c r="Y119" s="321">
        <f t="shared" si="62"/>
        <v>-7637702</v>
      </c>
      <c r="Z119" s="321">
        <f t="shared" si="62"/>
        <v>-7637702</v>
      </c>
      <c r="AA119" s="321">
        <f t="shared" si="62"/>
        <v>-7637702</v>
      </c>
      <c r="AB119" s="321">
        <f t="shared" si="62"/>
        <v>-8037702</v>
      </c>
      <c r="AC119" s="321">
        <f t="shared" si="62"/>
        <v>-9037702</v>
      </c>
      <c r="AD119" s="321">
        <f t="shared" si="62"/>
        <v>-9037702</v>
      </c>
      <c r="AE119" s="321">
        <f t="shared" si="62"/>
        <v>-9037702</v>
      </c>
      <c r="AF119" s="321">
        <f t="shared" si="62"/>
        <v>-9037702</v>
      </c>
      <c r="AG119" s="321">
        <f t="shared" si="62"/>
        <v>-16117702</v>
      </c>
      <c r="AH119" s="321">
        <f t="shared" si="62"/>
        <v>-23517702</v>
      </c>
      <c r="AI119" s="321">
        <f t="shared" si="62"/>
        <v>-26597702</v>
      </c>
      <c r="AJ119" s="321">
        <f t="shared" si="62"/>
        <v>-26597702</v>
      </c>
      <c r="AK119" s="321">
        <f t="shared" si="62"/>
        <v>-26597702</v>
      </c>
      <c r="AL119" s="321">
        <f t="shared" si="62"/>
        <v>-26597702</v>
      </c>
      <c r="AM119" s="321">
        <f t="shared" si="62"/>
        <v>-26597702</v>
      </c>
      <c r="AN119" s="321">
        <f t="shared" si="62"/>
        <v>-26597702</v>
      </c>
      <c r="AO119" s="321">
        <f t="shared" si="62"/>
        <v>20216743.677891642</v>
      </c>
      <c r="AP119" s="321">
        <f t="shared" si="62"/>
        <v>20216743.677891642</v>
      </c>
      <c r="AQ119" s="321">
        <f t="shared" si="62"/>
        <v>20216743.677891642</v>
      </c>
      <c r="AR119" s="321">
        <f t="shared" si="62"/>
        <v>20216743.677891642</v>
      </c>
      <c r="AS119" s="321">
        <f t="shared" si="62"/>
        <v>20216743.677891642</v>
      </c>
      <c r="AT119" s="321">
        <f t="shared" si="62"/>
        <v>20216743.677891642</v>
      </c>
      <c r="AU119" s="321">
        <f t="shared" si="62"/>
        <v>20216743.677891642</v>
      </c>
      <c r="AV119" s="321">
        <f t="shared" si="62"/>
        <v>20216743.677891642</v>
      </c>
      <c r="AW119" s="321">
        <f t="shared" si="62"/>
        <v>20216743.677891642</v>
      </c>
      <c r="AX119" s="321">
        <f t="shared" si="62"/>
        <v>20216743.677891642</v>
      </c>
      <c r="AY119" s="321">
        <f t="shared" si="62"/>
        <v>20216743.677891642</v>
      </c>
      <c r="AZ119" s="321">
        <f t="shared" si="62"/>
        <v>20216743.677891642</v>
      </c>
      <c r="BA119" s="321">
        <f t="shared" si="62"/>
        <v>20216743.677891642</v>
      </c>
      <c r="BB119" s="321">
        <f t="shared" si="62"/>
        <v>20216743.677891642</v>
      </c>
      <c r="BC119" s="321">
        <f t="shared" si="62"/>
        <v>20216743.677891642</v>
      </c>
      <c r="BD119" s="321">
        <f t="shared" si="62"/>
        <v>20216743.677891642</v>
      </c>
      <c r="BE119" s="321">
        <f t="shared" si="62"/>
        <v>20216743.677891642</v>
      </c>
      <c r="BF119" s="321">
        <f t="shared" si="62"/>
        <v>20216743.677891642</v>
      </c>
      <c r="BG119" s="321">
        <f t="shared" si="62"/>
        <v>20216743.677891642</v>
      </c>
      <c r="BH119" s="321">
        <f t="shared" si="62"/>
        <v>20216743.677891642</v>
      </c>
      <c r="BI119" s="321">
        <f t="shared" si="62"/>
        <v>20216743.677891642</v>
      </c>
      <c r="BJ119" s="321">
        <f t="shared" si="62"/>
        <v>20216743.677891642</v>
      </c>
      <c r="BK119" s="321">
        <f t="shared" si="62"/>
        <v>20216743.677891642</v>
      </c>
      <c r="BL119" s="321">
        <f t="shared" si="62"/>
        <v>20216743.677891642</v>
      </c>
      <c r="BM119" s="321">
        <f t="shared" si="62"/>
        <v>20216743.677891642</v>
      </c>
      <c r="BN119" s="321">
        <f t="shared" si="62"/>
        <v>20216743.677891642</v>
      </c>
      <c r="BO119" s="321">
        <f t="shared" si="62"/>
        <v>20216743.677891642</v>
      </c>
      <c r="BP119" s="321">
        <f t="shared" si="62"/>
        <v>20216743.677891642</v>
      </c>
      <c r="BQ119" s="321">
        <f t="shared" si="62"/>
        <v>20216743.677891642</v>
      </c>
      <c r="BR119" s="321">
        <f t="shared" si="62"/>
        <v>20216743.677891642</v>
      </c>
      <c r="BS119" s="321">
        <f t="shared" si="62"/>
        <v>20216743.677891642</v>
      </c>
      <c r="BT119" s="321">
        <f t="shared" si="62"/>
        <v>20216743.677891642</v>
      </c>
      <c r="BU119" s="321">
        <f t="shared" si="62"/>
        <v>20216743.677891642</v>
      </c>
      <c r="BV119" s="321">
        <f t="shared" si="62"/>
        <v>20216743.677891642</v>
      </c>
      <c r="BW119" s="321">
        <f t="shared" si="62"/>
        <v>20216743.677891642</v>
      </c>
      <c r="BX119" s="321">
        <f t="shared" si="62"/>
        <v>33537162.604204953</v>
      </c>
    </row>
    <row r="120" spans="3:76" outlineLevel="1">
      <c r="C120" s="311" t="s">
        <v>261</v>
      </c>
      <c r="D120" s="322">
        <f>IRR(L118:AO118)*12</f>
        <v>0.52791068393346841</v>
      </c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  <c r="AJ120" s="229"/>
      <c r="AK120" s="229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29"/>
      <c r="BN120" s="229"/>
      <c r="BO120" s="229"/>
      <c r="BP120" s="229"/>
      <c r="BQ120" s="229"/>
      <c r="BR120" s="229"/>
      <c r="BS120" s="229"/>
      <c r="BT120" s="229"/>
      <c r="BU120" s="229"/>
      <c r="BV120" s="229"/>
      <c r="BW120" s="229"/>
      <c r="BX120" s="229"/>
    </row>
    <row r="121" spans="3:76" outlineLevel="1">
      <c r="C121" s="323" t="s">
        <v>269</v>
      </c>
      <c r="D121" s="324">
        <f>-MIN(E119:BL119)</f>
        <v>26597702</v>
      </c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  <c r="AQ121" s="229"/>
      <c r="AR121" s="229"/>
      <c r="AS121" s="229"/>
      <c r="AT121" s="229"/>
      <c r="AU121" s="229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29"/>
      <c r="BF121" s="229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29"/>
      <c r="BQ121" s="229"/>
      <c r="BR121" s="229"/>
      <c r="BS121" s="229"/>
      <c r="BT121" s="229"/>
      <c r="BU121" s="229"/>
      <c r="BV121" s="229"/>
      <c r="BW121" s="229"/>
      <c r="BX121" s="229"/>
    </row>
    <row r="122" spans="3:76" outlineLevel="1">
      <c r="C122" s="323" t="s">
        <v>276</v>
      </c>
      <c r="D122" s="324"/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29"/>
      <c r="AK122" s="229"/>
      <c r="AL122" s="229"/>
      <c r="AM122" s="229"/>
      <c r="AN122" s="229"/>
      <c r="AO122" s="229"/>
      <c r="AP122" s="229"/>
      <c r="AQ122" s="229"/>
      <c r="AR122" s="229"/>
      <c r="AS122" s="229"/>
      <c r="AT122" s="229"/>
      <c r="AU122" s="229"/>
      <c r="AV122" s="229"/>
      <c r="AW122" s="229"/>
      <c r="AX122" s="229"/>
      <c r="AY122" s="229"/>
      <c r="AZ122" s="229"/>
      <c r="BA122" s="229"/>
      <c r="BB122" s="229"/>
      <c r="BC122" s="229"/>
      <c r="BD122" s="229"/>
      <c r="BE122" s="229"/>
      <c r="BF122" s="229"/>
      <c r="BG122" s="229"/>
      <c r="BH122" s="229"/>
      <c r="BI122" s="229"/>
      <c r="BJ122" s="229"/>
      <c r="BK122" s="229"/>
      <c r="BL122" s="229"/>
      <c r="BM122" s="229"/>
      <c r="BN122" s="229"/>
      <c r="BO122" s="229"/>
      <c r="BP122" s="229"/>
      <c r="BQ122" s="229"/>
      <c r="BR122" s="229"/>
      <c r="BS122" s="229"/>
      <c r="BT122" s="229"/>
      <c r="BU122" s="229"/>
      <c r="BV122" s="229"/>
      <c r="BW122" s="229"/>
      <c r="BX122" s="229"/>
    </row>
    <row r="123" spans="3:76" outlineLevel="1">
      <c r="C123" s="311" t="s">
        <v>270</v>
      </c>
      <c r="D123" s="325">
        <f>D122+D121</f>
        <v>26597702</v>
      </c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  <c r="AG123" s="229"/>
      <c r="AH123" s="229"/>
      <c r="AI123" s="229"/>
      <c r="AJ123" s="229"/>
      <c r="AK123" s="229"/>
      <c r="AL123" s="229"/>
      <c r="AM123" s="229"/>
      <c r="AN123" s="229"/>
      <c r="AO123" s="229"/>
      <c r="AP123" s="229"/>
      <c r="AQ123" s="229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229"/>
      <c r="BD123" s="229"/>
      <c r="BE123" s="229"/>
      <c r="BF123" s="229"/>
      <c r="BG123" s="229"/>
      <c r="BH123" s="229"/>
      <c r="BI123" s="229"/>
      <c r="BJ123" s="229"/>
      <c r="BK123" s="229"/>
      <c r="BL123" s="229"/>
      <c r="BM123" s="229"/>
      <c r="BN123" s="229"/>
      <c r="BO123" s="229"/>
      <c r="BP123" s="229"/>
      <c r="BQ123" s="229"/>
      <c r="BR123" s="229"/>
      <c r="BS123" s="229"/>
      <c r="BT123" s="229"/>
      <c r="BU123" s="229"/>
      <c r="BV123" s="229"/>
      <c r="BW123" s="229"/>
      <c r="BX123" s="229"/>
    </row>
    <row r="124" spans="3:76" outlineLevel="1">
      <c r="C124" s="311" t="s">
        <v>271</v>
      </c>
      <c r="D124" s="325">
        <f>AO117-AO56</f>
        <v>20216743.677891642</v>
      </c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29"/>
      <c r="AC124" s="229"/>
      <c r="AD124" s="229"/>
      <c r="AE124" s="229"/>
      <c r="AF124" s="229"/>
      <c r="AG124" s="229"/>
      <c r="AH124" s="229"/>
      <c r="AI124" s="229"/>
      <c r="AJ124" s="229"/>
      <c r="AK124" s="229"/>
      <c r="AL124" s="229"/>
      <c r="AM124" s="229"/>
      <c r="AN124" s="229"/>
      <c r="AO124" s="229"/>
      <c r="AP124" s="229"/>
      <c r="AQ124" s="229"/>
      <c r="AR124" s="229"/>
      <c r="AS124" s="229"/>
      <c r="AT124" s="229"/>
      <c r="AU124" s="229"/>
      <c r="AV124" s="229"/>
      <c r="AW124" s="229"/>
      <c r="AX124" s="229"/>
      <c r="AY124" s="229"/>
      <c r="AZ124" s="229"/>
      <c r="BA124" s="229"/>
      <c r="BB124" s="229"/>
      <c r="BC124" s="229"/>
      <c r="BD124" s="229"/>
      <c r="BE124" s="229"/>
      <c r="BF124" s="229"/>
      <c r="BG124" s="229"/>
      <c r="BH124" s="229"/>
      <c r="BI124" s="229"/>
      <c r="BJ124" s="229"/>
      <c r="BK124" s="229"/>
      <c r="BL124" s="229"/>
      <c r="BM124" s="229"/>
      <c r="BN124" s="229"/>
      <c r="BO124" s="229"/>
      <c r="BP124" s="229"/>
      <c r="BQ124" s="229"/>
      <c r="BR124" s="229"/>
      <c r="BS124" s="229"/>
      <c r="BT124" s="229"/>
      <c r="BU124" s="229"/>
      <c r="BV124" s="229"/>
      <c r="BW124" s="229"/>
      <c r="BX124" s="229"/>
    </row>
    <row r="125" spans="3:76" outlineLevel="1">
      <c r="C125" s="311" t="s">
        <v>272</v>
      </c>
      <c r="D125" s="322">
        <f>(D124-D122)/D123</f>
        <v>0.76009362304651895</v>
      </c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29"/>
      <c r="AC125" s="229"/>
      <c r="AD125" s="229"/>
      <c r="AE125" s="229"/>
      <c r="AF125" s="229"/>
      <c r="AG125" s="229"/>
      <c r="AH125" s="229"/>
      <c r="AI125" s="229"/>
      <c r="AJ125" s="229"/>
      <c r="AK125" s="229"/>
      <c r="AL125" s="229"/>
      <c r="AM125" s="229"/>
      <c r="AN125" s="229"/>
      <c r="AO125" s="229"/>
      <c r="AP125" s="229"/>
      <c r="AQ125" s="229"/>
      <c r="AR125" s="229"/>
      <c r="AS125" s="229"/>
      <c r="AT125" s="229"/>
      <c r="AU125" s="229"/>
      <c r="AV125" s="229"/>
      <c r="AW125" s="229"/>
      <c r="AX125" s="229"/>
      <c r="AY125" s="229"/>
      <c r="AZ125" s="229"/>
      <c r="BA125" s="229"/>
      <c r="BB125" s="229"/>
      <c r="BC125" s="229"/>
      <c r="BD125" s="229"/>
      <c r="BE125" s="229"/>
      <c r="BF125" s="229"/>
      <c r="BG125" s="229"/>
      <c r="BH125" s="229"/>
      <c r="BI125" s="229"/>
      <c r="BJ125" s="229"/>
      <c r="BK125" s="229"/>
      <c r="BL125" s="229"/>
      <c r="BM125" s="229"/>
      <c r="BN125" s="229"/>
      <c r="BO125" s="229"/>
      <c r="BP125" s="229"/>
      <c r="BQ125" s="229"/>
      <c r="BR125" s="229"/>
      <c r="BS125" s="229"/>
      <c r="BT125" s="229"/>
      <c r="BU125" s="229"/>
      <c r="BV125" s="229"/>
      <c r="BW125" s="229"/>
      <c r="BX125" s="229"/>
    </row>
    <row r="129" spans="3:76">
      <c r="E129" s="229">
        <f t="shared" ref="E129:R129" si="63">E103+E118</f>
        <v>0</v>
      </c>
      <c r="F129" s="229">
        <f t="shared" si="63"/>
        <v>0</v>
      </c>
      <c r="G129" s="229">
        <f t="shared" si="63"/>
        <v>0</v>
      </c>
      <c r="H129" s="229">
        <f t="shared" si="63"/>
        <v>0</v>
      </c>
      <c r="I129" s="229">
        <f t="shared" si="63"/>
        <v>-87324</v>
      </c>
      <c r="J129" s="229">
        <f t="shared" si="63"/>
        <v>-100000</v>
      </c>
      <c r="K129" s="229">
        <f t="shared" si="63"/>
        <v>3400000</v>
      </c>
      <c r="L129" s="229">
        <f t="shared" si="63"/>
        <v>-5024500</v>
      </c>
      <c r="M129" s="229">
        <f t="shared" si="63"/>
        <v>-1000</v>
      </c>
      <c r="N129" s="229">
        <f t="shared" si="63"/>
        <v>-80000</v>
      </c>
      <c r="O129" s="229">
        <f t="shared" si="63"/>
        <v>-31000</v>
      </c>
      <c r="P129" s="229">
        <f t="shared" si="63"/>
        <v>-3994008</v>
      </c>
      <c r="Q129" s="229">
        <f t="shared" si="63"/>
        <v>2032137</v>
      </c>
      <c r="R129" s="229">
        <f t="shared" si="63"/>
        <v>0</v>
      </c>
      <c r="S129" s="229">
        <f>-SUM(E129:R129)*110.08%</f>
        <v>4277373.0559999999</v>
      </c>
      <c r="T129" s="229"/>
      <c r="U129" s="229"/>
      <c r="V129" s="229"/>
      <c r="W129" s="229"/>
      <c r="X129" s="229"/>
      <c r="Y129" s="229"/>
      <c r="Z129" s="229"/>
      <c r="AA129" s="229"/>
      <c r="AB129" s="229"/>
      <c r="AC129" s="229"/>
      <c r="AD129" s="229"/>
      <c r="AE129" s="229"/>
      <c r="AF129" s="229"/>
      <c r="AG129" s="229"/>
      <c r="AH129" s="229"/>
      <c r="AI129" s="229"/>
      <c r="AJ129" s="229"/>
      <c r="AK129" s="229"/>
      <c r="AL129" s="229"/>
      <c r="AM129" s="229"/>
      <c r="AN129" s="229"/>
      <c r="AO129" s="229"/>
      <c r="AP129" s="229"/>
      <c r="AQ129" s="229"/>
      <c r="AR129" s="229"/>
      <c r="AS129" s="229"/>
      <c r="AT129" s="229"/>
      <c r="AU129" s="229"/>
      <c r="AV129" s="229"/>
      <c r="AW129" s="229"/>
      <c r="AX129" s="229"/>
      <c r="AY129" s="229"/>
      <c r="AZ129" s="229"/>
      <c r="BA129" s="229"/>
      <c r="BB129" s="229"/>
      <c r="BC129" s="229"/>
      <c r="BD129" s="229"/>
      <c r="BE129" s="229"/>
      <c r="BF129" s="229"/>
      <c r="BG129" s="229"/>
      <c r="BH129" s="229"/>
      <c r="BI129" s="229"/>
      <c r="BJ129" s="229"/>
      <c r="BK129" s="229"/>
      <c r="BL129" s="229"/>
      <c r="BM129" s="229"/>
      <c r="BN129" s="229"/>
      <c r="BO129" s="229"/>
      <c r="BP129" s="229"/>
      <c r="BQ129" s="229"/>
      <c r="BR129" s="229"/>
      <c r="BS129" s="229"/>
      <c r="BT129" s="229"/>
      <c r="BU129" s="229"/>
      <c r="BV129" s="229"/>
      <c r="BW129" s="229"/>
      <c r="BX129" s="229"/>
    </row>
    <row r="130" spans="3:76">
      <c r="D130" s="349">
        <f>IRR(I129:S129)*12</f>
        <v>0.25005699938379333</v>
      </c>
      <c r="E130" s="229"/>
      <c r="F130" s="229"/>
      <c r="G130" s="229"/>
      <c r="H130" s="229"/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29"/>
      <c r="U130" s="229"/>
      <c r="V130" s="229"/>
      <c r="W130" s="229"/>
      <c r="X130" s="229"/>
      <c r="Y130" s="229"/>
      <c r="Z130" s="229"/>
      <c r="AA130" s="229"/>
      <c r="AB130" s="229"/>
      <c r="AC130" s="229"/>
      <c r="AD130" s="229"/>
      <c r="AE130" s="229"/>
      <c r="AF130" s="229"/>
      <c r="AG130" s="229"/>
      <c r="AH130" s="229"/>
      <c r="AI130" s="229"/>
      <c r="AJ130" s="229"/>
      <c r="AK130" s="229"/>
      <c r="AL130" s="229"/>
      <c r="AM130" s="229"/>
      <c r="AN130" s="229"/>
      <c r="AO130" s="229"/>
      <c r="AP130" s="229"/>
      <c r="AQ130" s="229"/>
      <c r="AR130" s="229"/>
      <c r="AS130" s="229"/>
      <c r="AT130" s="229"/>
      <c r="AU130" s="229"/>
      <c r="AV130" s="229"/>
      <c r="AW130" s="229"/>
      <c r="AX130" s="229"/>
      <c r="AY130" s="229"/>
      <c r="AZ130" s="229"/>
      <c r="BA130" s="229"/>
      <c r="BB130" s="229"/>
      <c r="BC130" s="229"/>
      <c r="BD130" s="229"/>
      <c r="BE130" s="229"/>
      <c r="BF130" s="229"/>
      <c r="BG130" s="229"/>
      <c r="BH130" s="229"/>
      <c r="BI130" s="229"/>
      <c r="BJ130" s="229"/>
      <c r="BK130" s="229"/>
      <c r="BL130" s="229"/>
      <c r="BM130" s="229"/>
      <c r="BN130" s="229"/>
      <c r="BO130" s="229"/>
      <c r="BP130" s="229"/>
      <c r="BQ130" s="229"/>
      <c r="BR130" s="229"/>
      <c r="BS130" s="229"/>
      <c r="BT130" s="229"/>
      <c r="BU130" s="229"/>
      <c r="BV130" s="229"/>
      <c r="BW130" s="229"/>
      <c r="BX130" s="229"/>
    </row>
    <row r="131" spans="3:76">
      <c r="E131" s="229"/>
      <c r="F131" s="229"/>
      <c r="G131" s="229"/>
      <c r="H131" s="229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  <c r="U131" s="229"/>
      <c r="V131" s="229"/>
      <c r="W131" s="229"/>
      <c r="X131" s="229"/>
      <c r="Y131" s="229"/>
      <c r="Z131" s="229"/>
      <c r="AA131" s="229"/>
      <c r="AB131" s="229"/>
      <c r="AC131" s="229"/>
      <c r="AD131" s="229"/>
      <c r="AE131" s="229"/>
      <c r="AF131" s="229"/>
      <c r="AG131" s="229"/>
      <c r="AH131" s="229"/>
      <c r="AI131" s="229"/>
      <c r="AJ131" s="229"/>
      <c r="AK131" s="229"/>
      <c r="AL131" s="229"/>
      <c r="AM131" s="229"/>
      <c r="AN131" s="229"/>
      <c r="AO131" s="229"/>
      <c r="AP131" s="229"/>
      <c r="AQ131" s="229"/>
      <c r="AR131" s="229"/>
      <c r="AS131" s="229"/>
      <c r="AT131" s="229"/>
      <c r="AU131" s="229"/>
      <c r="AV131" s="229"/>
      <c r="AW131" s="229"/>
      <c r="AX131" s="229"/>
      <c r="AY131" s="229"/>
      <c r="AZ131" s="229"/>
      <c r="BA131" s="229"/>
      <c r="BB131" s="229"/>
      <c r="BC131" s="229"/>
      <c r="BD131" s="229"/>
      <c r="BE131" s="229"/>
      <c r="BF131" s="229"/>
      <c r="BG131" s="229"/>
      <c r="BH131" s="229"/>
      <c r="BI131" s="229"/>
      <c r="BJ131" s="229"/>
      <c r="BK131" s="229"/>
      <c r="BL131" s="229"/>
      <c r="BM131" s="229"/>
      <c r="BN131" s="229"/>
      <c r="BO131" s="229"/>
      <c r="BP131" s="229"/>
      <c r="BQ131" s="229"/>
      <c r="BR131" s="229"/>
      <c r="BS131" s="229"/>
      <c r="BT131" s="229"/>
      <c r="BU131" s="229"/>
      <c r="BV131" s="229"/>
      <c r="BW131" s="229"/>
      <c r="BX131" s="229"/>
    </row>
    <row r="132" spans="3:76">
      <c r="E132" s="229">
        <f t="shared" ref="E132:R132" si="64">E103</f>
        <v>0</v>
      </c>
      <c r="F132" s="229">
        <f t="shared" si="64"/>
        <v>0</v>
      </c>
      <c r="G132" s="229">
        <f t="shared" si="64"/>
        <v>0</v>
      </c>
      <c r="H132" s="229">
        <f t="shared" si="64"/>
        <v>0</v>
      </c>
      <c r="I132" s="229">
        <f t="shared" si="64"/>
        <v>-87324</v>
      </c>
      <c r="J132" s="229">
        <f t="shared" si="64"/>
        <v>-100000</v>
      </c>
      <c r="K132" s="229">
        <f t="shared" si="64"/>
        <v>3400000</v>
      </c>
      <c r="L132" s="229">
        <f t="shared" si="64"/>
        <v>-5024500</v>
      </c>
      <c r="M132" s="229">
        <f t="shared" si="64"/>
        <v>-1000</v>
      </c>
      <c r="N132" s="229">
        <f t="shared" si="64"/>
        <v>-80000</v>
      </c>
      <c r="O132" s="229">
        <f t="shared" si="64"/>
        <v>-31000</v>
      </c>
      <c r="P132" s="229">
        <f t="shared" si="64"/>
        <v>0</v>
      </c>
      <c r="Q132" s="229">
        <f t="shared" si="64"/>
        <v>2032137</v>
      </c>
      <c r="R132" s="229">
        <f t="shared" si="64"/>
        <v>0</v>
      </c>
      <c r="S132" s="229">
        <f>SUM(E132:R132)*125%</f>
        <v>135391.25</v>
      </c>
      <c r="T132" s="229"/>
      <c r="U132" s="229"/>
      <c r="V132" s="229"/>
      <c r="W132" s="229"/>
      <c r="X132" s="229"/>
      <c r="Y132" s="229"/>
      <c r="Z132" s="229"/>
      <c r="AA132" s="229"/>
      <c r="AB132" s="229"/>
      <c r="AC132" s="229"/>
      <c r="AD132" s="229"/>
      <c r="AE132" s="229"/>
      <c r="AF132" s="229"/>
      <c r="AG132" s="229"/>
      <c r="AH132" s="229"/>
      <c r="AI132" s="229"/>
      <c r="AJ132" s="229"/>
      <c r="AK132" s="229"/>
      <c r="AL132" s="229"/>
      <c r="AM132" s="229"/>
      <c r="AN132" s="229"/>
      <c r="AO132" s="229"/>
      <c r="AP132" s="229"/>
      <c r="AQ132" s="229"/>
      <c r="AR132" s="229"/>
      <c r="AS132" s="229"/>
      <c r="AT132" s="229"/>
      <c r="AU132" s="229"/>
      <c r="AV132" s="229"/>
      <c r="AW132" s="229"/>
      <c r="AX132" s="229"/>
      <c r="AY132" s="229"/>
      <c r="AZ132" s="229"/>
      <c r="BA132" s="229"/>
      <c r="BB132" s="229"/>
      <c r="BC132" s="229"/>
      <c r="BD132" s="229"/>
      <c r="BE132" s="229"/>
      <c r="BF132" s="229"/>
      <c r="BG132" s="229"/>
      <c r="BH132" s="229"/>
      <c r="BI132" s="229"/>
      <c r="BJ132" s="229"/>
      <c r="BK132" s="229"/>
      <c r="BL132" s="229"/>
      <c r="BM132" s="229"/>
      <c r="BN132" s="229"/>
      <c r="BO132" s="229"/>
      <c r="BP132" s="229"/>
      <c r="BQ132" s="229"/>
      <c r="BR132" s="229"/>
      <c r="BS132" s="229"/>
      <c r="BT132" s="229"/>
      <c r="BU132" s="229"/>
      <c r="BV132" s="229"/>
      <c r="BW132" s="229"/>
      <c r="BX132" s="229"/>
    </row>
    <row r="133" spans="3:76">
      <c r="D133" s="349">
        <f>IRR(I132:S132)*12</f>
        <v>0.42900658831345684</v>
      </c>
      <c r="E133" s="229"/>
      <c r="F133" s="229"/>
      <c r="G133" s="229"/>
      <c r="H133" s="229"/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  <c r="U133" s="229"/>
      <c r="V133" s="229"/>
      <c r="W133" s="229"/>
      <c r="X133" s="229"/>
      <c r="Y133" s="229"/>
      <c r="Z133" s="229"/>
      <c r="AA133" s="229"/>
      <c r="AB133" s="229"/>
      <c r="AC133" s="229"/>
      <c r="AD133" s="229"/>
      <c r="AE133" s="229"/>
      <c r="AF133" s="229"/>
      <c r="AG133" s="229"/>
      <c r="AH133" s="229"/>
      <c r="AI133" s="229"/>
      <c r="AJ133" s="229"/>
      <c r="AK133" s="229"/>
      <c r="AL133" s="229"/>
      <c r="AM133" s="229"/>
      <c r="AN133" s="229"/>
      <c r="AO133" s="229"/>
      <c r="AP133" s="229"/>
      <c r="AQ133" s="229"/>
      <c r="AR133" s="229"/>
      <c r="AS133" s="229"/>
      <c r="AT133" s="229"/>
      <c r="AU133" s="229"/>
      <c r="AV133" s="229"/>
      <c r="AW133" s="229"/>
      <c r="AX133" s="229"/>
      <c r="AY133" s="229"/>
      <c r="AZ133" s="229"/>
      <c r="BA133" s="229"/>
      <c r="BB133" s="229"/>
      <c r="BC133" s="229"/>
      <c r="BD133" s="229"/>
      <c r="BE133" s="229"/>
      <c r="BF133" s="229"/>
      <c r="BG133" s="229"/>
      <c r="BH133" s="229"/>
      <c r="BI133" s="229"/>
      <c r="BJ133" s="229"/>
      <c r="BK133" s="229"/>
      <c r="BL133" s="229"/>
      <c r="BM133" s="229"/>
      <c r="BN133" s="229"/>
      <c r="BO133" s="229"/>
      <c r="BP133" s="229"/>
      <c r="BQ133" s="229"/>
      <c r="BR133" s="229"/>
      <c r="BS133" s="229"/>
      <c r="BT133" s="229"/>
      <c r="BU133" s="229"/>
      <c r="BV133" s="229"/>
      <c r="BW133" s="229"/>
      <c r="BX133" s="229"/>
    </row>
    <row r="134" spans="3:76">
      <c r="E134" s="229"/>
      <c r="F134" s="229"/>
      <c r="G134" s="229"/>
      <c r="H134" s="229"/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  <c r="U134" s="229"/>
      <c r="V134" s="229"/>
      <c r="W134" s="229"/>
      <c r="X134" s="229"/>
      <c r="Y134" s="229"/>
      <c r="Z134" s="229"/>
      <c r="AA134" s="229"/>
      <c r="AB134" s="229"/>
      <c r="AC134" s="229"/>
      <c r="AD134" s="229"/>
      <c r="AE134" s="229"/>
      <c r="AF134" s="229"/>
      <c r="AG134" s="229"/>
      <c r="AH134" s="229"/>
      <c r="AI134" s="229"/>
      <c r="AJ134" s="229"/>
      <c r="AK134" s="229"/>
      <c r="AL134" s="229"/>
      <c r="AM134" s="229"/>
      <c r="AN134" s="229"/>
      <c r="AO134" s="229"/>
      <c r="AP134" s="229"/>
      <c r="AQ134" s="229"/>
      <c r="AR134" s="229"/>
      <c r="AS134" s="229"/>
      <c r="AT134" s="229"/>
      <c r="AU134" s="229"/>
      <c r="AV134" s="229"/>
      <c r="AW134" s="229"/>
      <c r="AX134" s="229"/>
      <c r="AY134" s="229"/>
      <c r="AZ134" s="229"/>
      <c r="BA134" s="229"/>
      <c r="BB134" s="229"/>
      <c r="BC134" s="229"/>
      <c r="BD134" s="229"/>
      <c r="BE134" s="229"/>
      <c r="BF134" s="229"/>
      <c r="BG134" s="229"/>
      <c r="BH134" s="229"/>
      <c r="BI134" s="229"/>
      <c r="BJ134" s="229"/>
      <c r="BK134" s="229"/>
      <c r="BL134" s="229"/>
      <c r="BM134" s="229"/>
      <c r="BN134" s="229"/>
      <c r="BO134" s="229"/>
      <c r="BP134" s="229"/>
      <c r="BQ134" s="229"/>
      <c r="BR134" s="229"/>
      <c r="BS134" s="229"/>
      <c r="BT134" s="229"/>
      <c r="BU134" s="229"/>
      <c r="BV134" s="229"/>
      <c r="BW134" s="229"/>
      <c r="BX134" s="229"/>
    </row>
    <row r="135" spans="3:76" hidden="1" collapsed="1">
      <c r="C135" s="308" t="s">
        <v>277</v>
      </c>
      <c r="D135" s="309"/>
      <c r="E135" s="309">
        <f t="shared" ref="E135:BX135" si="65">-(E7+E76)</f>
        <v>0</v>
      </c>
      <c r="F135" s="309">
        <f t="shared" si="65"/>
        <v>0</v>
      </c>
      <c r="G135" s="309">
        <f t="shared" si="65"/>
        <v>0</v>
      </c>
      <c r="H135" s="309">
        <f t="shared" si="65"/>
        <v>0</v>
      </c>
      <c r="I135" s="309">
        <f t="shared" si="65"/>
        <v>0</v>
      </c>
      <c r="J135" s="309">
        <f t="shared" si="65"/>
        <v>0</v>
      </c>
      <c r="K135" s="309">
        <f t="shared" si="65"/>
        <v>0</v>
      </c>
      <c r="L135" s="309">
        <f t="shared" si="65"/>
        <v>0</v>
      </c>
      <c r="M135" s="309">
        <f t="shared" si="65"/>
        <v>0</v>
      </c>
      <c r="N135" s="309">
        <f t="shared" si="65"/>
        <v>0</v>
      </c>
      <c r="O135" s="309">
        <f t="shared" si="65"/>
        <v>0</v>
      </c>
      <c r="P135" s="309">
        <f t="shared" si="65"/>
        <v>0</v>
      </c>
      <c r="Q135" s="309">
        <f t="shared" si="65"/>
        <v>0</v>
      </c>
      <c r="R135" s="309">
        <f t="shared" si="65"/>
        <v>0</v>
      </c>
      <c r="S135" s="309">
        <f t="shared" si="65"/>
        <v>0</v>
      </c>
      <c r="T135" s="309">
        <f t="shared" si="65"/>
        <v>0</v>
      </c>
      <c r="U135" s="309">
        <f t="shared" si="65"/>
        <v>0</v>
      </c>
      <c r="V135" s="309">
        <f t="shared" si="65"/>
        <v>0</v>
      </c>
      <c r="W135" s="309">
        <f t="shared" si="65"/>
        <v>0</v>
      </c>
      <c r="X135" s="309">
        <f t="shared" si="65"/>
        <v>0</v>
      </c>
      <c r="Y135" s="309">
        <f t="shared" si="65"/>
        <v>0</v>
      </c>
      <c r="Z135" s="309">
        <f t="shared" si="65"/>
        <v>0</v>
      </c>
      <c r="AA135" s="309">
        <f t="shared" si="65"/>
        <v>0</v>
      </c>
      <c r="AB135" s="309">
        <f t="shared" si="65"/>
        <v>0</v>
      </c>
      <c r="AC135" s="309">
        <f t="shared" si="65"/>
        <v>0</v>
      </c>
      <c r="AD135" s="309">
        <f t="shared" si="65"/>
        <v>0</v>
      </c>
      <c r="AE135" s="309">
        <f t="shared" si="65"/>
        <v>0</v>
      </c>
      <c r="AF135" s="309">
        <f t="shared" si="65"/>
        <v>0</v>
      </c>
      <c r="AG135" s="309">
        <f t="shared" si="65"/>
        <v>0</v>
      </c>
      <c r="AH135" s="309">
        <f t="shared" si="65"/>
        <v>0</v>
      </c>
      <c r="AI135" s="309">
        <f t="shared" si="65"/>
        <v>0</v>
      </c>
      <c r="AJ135" s="309">
        <f t="shared" si="65"/>
        <v>0</v>
      </c>
      <c r="AK135" s="309">
        <f t="shared" si="65"/>
        <v>0</v>
      </c>
      <c r="AL135" s="309">
        <f t="shared" si="65"/>
        <v>0</v>
      </c>
      <c r="AM135" s="309">
        <f t="shared" si="65"/>
        <v>0</v>
      </c>
      <c r="AN135" s="309">
        <f t="shared" si="65"/>
        <v>0</v>
      </c>
      <c r="AO135" s="309">
        <f t="shared" si="65"/>
        <v>0</v>
      </c>
      <c r="AP135" s="309">
        <f t="shared" si="65"/>
        <v>0</v>
      </c>
      <c r="AQ135" s="309">
        <f t="shared" si="65"/>
        <v>0</v>
      </c>
      <c r="AR135" s="309">
        <f t="shared" si="65"/>
        <v>0</v>
      </c>
      <c r="AS135" s="309">
        <f t="shared" si="65"/>
        <v>0</v>
      </c>
      <c r="AT135" s="309">
        <f t="shared" si="65"/>
        <v>0</v>
      </c>
      <c r="AU135" s="309">
        <f t="shared" si="65"/>
        <v>0</v>
      </c>
      <c r="AV135" s="309">
        <f t="shared" si="65"/>
        <v>0</v>
      </c>
      <c r="AW135" s="309">
        <f t="shared" si="65"/>
        <v>0</v>
      </c>
      <c r="AX135" s="309">
        <f t="shared" si="65"/>
        <v>0</v>
      </c>
      <c r="AY135" s="309">
        <f t="shared" si="65"/>
        <v>0</v>
      </c>
      <c r="AZ135" s="309">
        <f t="shared" si="65"/>
        <v>0</v>
      </c>
      <c r="BA135" s="309">
        <f t="shared" si="65"/>
        <v>0</v>
      </c>
      <c r="BB135" s="309">
        <f t="shared" si="65"/>
        <v>0</v>
      </c>
      <c r="BC135" s="309">
        <f t="shared" si="65"/>
        <v>0</v>
      </c>
      <c r="BD135" s="309">
        <f t="shared" si="65"/>
        <v>0</v>
      </c>
      <c r="BE135" s="309">
        <f t="shared" si="65"/>
        <v>0</v>
      </c>
      <c r="BF135" s="309">
        <f t="shared" si="65"/>
        <v>0</v>
      </c>
      <c r="BG135" s="309">
        <f t="shared" si="65"/>
        <v>0</v>
      </c>
      <c r="BH135" s="309">
        <f t="shared" si="65"/>
        <v>0</v>
      </c>
      <c r="BI135" s="309">
        <f t="shared" si="65"/>
        <v>0</v>
      </c>
      <c r="BJ135" s="309">
        <f t="shared" si="65"/>
        <v>0</v>
      </c>
      <c r="BK135" s="309">
        <f t="shared" si="65"/>
        <v>0</v>
      </c>
      <c r="BL135" s="309">
        <f t="shared" si="65"/>
        <v>0</v>
      </c>
      <c r="BM135" s="309">
        <f t="shared" si="65"/>
        <v>0</v>
      </c>
      <c r="BN135" s="309">
        <f t="shared" si="65"/>
        <v>0</v>
      </c>
      <c r="BO135" s="309">
        <f t="shared" si="65"/>
        <v>0</v>
      </c>
      <c r="BP135" s="309">
        <f t="shared" si="65"/>
        <v>0</v>
      </c>
      <c r="BQ135" s="309">
        <f t="shared" si="65"/>
        <v>0</v>
      </c>
      <c r="BR135" s="309">
        <f t="shared" si="65"/>
        <v>0</v>
      </c>
      <c r="BS135" s="309">
        <f t="shared" si="65"/>
        <v>0</v>
      </c>
      <c r="BT135" s="309">
        <f t="shared" si="65"/>
        <v>0</v>
      </c>
      <c r="BU135" s="309">
        <f t="shared" si="65"/>
        <v>0</v>
      </c>
      <c r="BV135" s="309">
        <f t="shared" si="65"/>
        <v>0</v>
      </c>
      <c r="BW135" s="309">
        <f t="shared" si="65"/>
        <v>0</v>
      </c>
      <c r="BX135" s="309">
        <f t="shared" si="65"/>
        <v>0</v>
      </c>
    </row>
    <row r="136" spans="3:76" hidden="1" outlineLevel="1">
      <c r="C136" s="308" t="s">
        <v>274</v>
      </c>
      <c r="D136" s="317"/>
      <c r="E136" s="309"/>
      <c r="F136" s="309"/>
      <c r="G136" s="309"/>
      <c r="H136" s="309"/>
      <c r="I136" s="309"/>
      <c r="J136" s="309"/>
      <c r="K136" s="309"/>
      <c r="L136" s="309"/>
      <c r="M136" s="309"/>
      <c r="N136" s="309"/>
      <c r="O136" s="309"/>
      <c r="P136" s="309"/>
      <c r="Q136" s="309"/>
      <c r="R136" s="309"/>
      <c r="S136" s="309"/>
      <c r="T136" s="309"/>
      <c r="U136" s="309"/>
      <c r="V136" s="309"/>
      <c r="W136" s="309"/>
      <c r="X136" s="309"/>
      <c r="Y136" s="309"/>
      <c r="Z136" s="309"/>
      <c r="AA136" s="309"/>
      <c r="AB136" s="309"/>
      <c r="AC136" s="309"/>
      <c r="AD136" s="309"/>
      <c r="AE136" s="309"/>
      <c r="AF136" s="309"/>
      <c r="AG136" s="309"/>
      <c r="AH136" s="309"/>
      <c r="AI136" s="309"/>
      <c r="AJ136" s="309"/>
      <c r="AK136" s="309"/>
      <c r="AL136" s="309"/>
      <c r="AM136" s="309"/>
      <c r="AN136" s="309"/>
      <c r="AO136" s="309"/>
      <c r="AP136" s="309"/>
      <c r="AQ136" s="309"/>
      <c r="AR136" s="309"/>
      <c r="AS136" s="309"/>
      <c r="AT136" s="309"/>
      <c r="AU136" s="309"/>
      <c r="AV136" s="309"/>
      <c r="AW136" s="309"/>
      <c r="AX136" s="309"/>
      <c r="AY136" s="309"/>
      <c r="AZ136" s="309"/>
      <c r="BA136" s="309"/>
      <c r="BB136" s="309"/>
      <c r="BC136" s="309"/>
      <c r="BD136" s="309"/>
      <c r="BE136" s="309"/>
      <c r="BF136" s="309"/>
      <c r="BG136" s="309"/>
      <c r="BH136" s="309"/>
      <c r="BI136" s="309"/>
      <c r="BJ136" s="309"/>
      <c r="BK136" s="309"/>
      <c r="BL136" s="309"/>
      <c r="BM136" s="309"/>
      <c r="BN136" s="309"/>
      <c r="BO136" s="309"/>
      <c r="BP136" s="309"/>
      <c r="BQ136" s="309"/>
      <c r="BR136" s="309"/>
      <c r="BS136" s="309"/>
      <c r="BT136" s="309"/>
      <c r="BU136" s="309"/>
      <c r="BV136" s="309"/>
      <c r="BW136" s="309"/>
      <c r="BX136" s="309"/>
    </row>
    <row r="137" spans="3:76" hidden="1" outlineLevel="1">
      <c r="C137" s="308" t="s">
        <v>265</v>
      </c>
      <c r="D137" s="317"/>
      <c r="E137" s="309">
        <f t="shared" ref="E137:BX137" si="66">-E57</f>
        <v>0</v>
      </c>
      <c r="F137" s="309">
        <f t="shared" si="66"/>
        <v>0</v>
      </c>
      <c r="G137" s="309">
        <f t="shared" si="66"/>
        <v>0</v>
      </c>
      <c r="H137" s="309">
        <f t="shared" si="66"/>
        <v>0</v>
      </c>
      <c r="I137" s="309">
        <f t="shared" si="66"/>
        <v>0</v>
      </c>
      <c r="J137" s="309">
        <f t="shared" si="66"/>
        <v>0</v>
      </c>
      <c r="K137" s="309">
        <f t="shared" si="66"/>
        <v>0</v>
      </c>
      <c r="L137" s="309">
        <f t="shared" si="66"/>
        <v>0</v>
      </c>
      <c r="M137" s="309">
        <f t="shared" si="66"/>
        <v>0</v>
      </c>
      <c r="N137" s="309">
        <f t="shared" si="66"/>
        <v>0</v>
      </c>
      <c r="O137" s="309">
        <f t="shared" si="66"/>
        <v>0</v>
      </c>
      <c r="P137" s="309">
        <f t="shared" si="66"/>
        <v>0</v>
      </c>
      <c r="Q137" s="309">
        <f t="shared" si="66"/>
        <v>0</v>
      </c>
      <c r="R137" s="309">
        <f t="shared" si="66"/>
        <v>0</v>
      </c>
      <c r="S137" s="309">
        <f t="shared" si="66"/>
        <v>0</v>
      </c>
      <c r="T137" s="309">
        <f t="shared" si="66"/>
        <v>0</v>
      </c>
      <c r="U137" s="309">
        <f t="shared" si="66"/>
        <v>0</v>
      </c>
      <c r="V137" s="309">
        <f t="shared" si="66"/>
        <v>0</v>
      </c>
      <c r="W137" s="309">
        <f t="shared" si="66"/>
        <v>0</v>
      </c>
      <c r="X137" s="309">
        <f t="shared" si="66"/>
        <v>0</v>
      </c>
      <c r="Y137" s="309">
        <f t="shared" si="66"/>
        <v>0</v>
      </c>
      <c r="Z137" s="309">
        <f t="shared" si="66"/>
        <v>0</v>
      </c>
      <c r="AA137" s="309">
        <f t="shared" si="66"/>
        <v>0</v>
      </c>
      <c r="AB137" s="309">
        <f t="shared" si="66"/>
        <v>0</v>
      </c>
      <c r="AC137" s="309">
        <f t="shared" si="66"/>
        <v>0</v>
      </c>
      <c r="AD137" s="309">
        <f t="shared" si="66"/>
        <v>0</v>
      </c>
      <c r="AE137" s="309">
        <f t="shared" si="66"/>
        <v>0</v>
      </c>
      <c r="AF137" s="309">
        <f t="shared" si="66"/>
        <v>0</v>
      </c>
      <c r="AG137" s="309">
        <f t="shared" si="66"/>
        <v>0</v>
      </c>
      <c r="AH137" s="309">
        <f t="shared" si="66"/>
        <v>0</v>
      </c>
      <c r="AI137" s="309">
        <f t="shared" si="66"/>
        <v>0</v>
      </c>
      <c r="AJ137" s="309">
        <f t="shared" si="66"/>
        <v>0</v>
      </c>
      <c r="AK137" s="309">
        <f t="shared" si="66"/>
        <v>0</v>
      </c>
      <c r="AL137" s="309">
        <f t="shared" si="66"/>
        <v>0</v>
      </c>
      <c r="AM137" s="309">
        <f t="shared" si="66"/>
        <v>0</v>
      </c>
      <c r="AN137" s="309">
        <f t="shared" si="66"/>
        <v>0</v>
      </c>
      <c r="AO137" s="309">
        <f t="shared" si="66"/>
        <v>0</v>
      </c>
      <c r="AP137" s="309">
        <f t="shared" si="66"/>
        <v>0</v>
      </c>
      <c r="AQ137" s="309">
        <f t="shared" si="66"/>
        <v>0</v>
      </c>
      <c r="AR137" s="309">
        <f t="shared" si="66"/>
        <v>0</v>
      </c>
      <c r="AS137" s="309">
        <f t="shared" si="66"/>
        <v>0</v>
      </c>
      <c r="AT137" s="309">
        <f t="shared" si="66"/>
        <v>0</v>
      </c>
      <c r="AU137" s="309">
        <f t="shared" si="66"/>
        <v>0</v>
      </c>
      <c r="AV137" s="309">
        <f t="shared" si="66"/>
        <v>0</v>
      </c>
      <c r="AW137" s="309">
        <f t="shared" si="66"/>
        <v>0</v>
      </c>
      <c r="AX137" s="309">
        <f t="shared" si="66"/>
        <v>0</v>
      </c>
      <c r="AY137" s="309">
        <f t="shared" si="66"/>
        <v>0</v>
      </c>
      <c r="AZ137" s="309">
        <f t="shared" si="66"/>
        <v>0</v>
      </c>
      <c r="BA137" s="309">
        <f t="shared" si="66"/>
        <v>0</v>
      </c>
      <c r="BB137" s="309">
        <f t="shared" si="66"/>
        <v>0</v>
      </c>
      <c r="BC137" s="309">
        <f t="shared" si="66"/>
        <v>0</v>
      </c>
      <c r="BD137" s="309">
        <f t="shared" si="66"/>
        <v>0</v>
      </c>
      <c r="BE137" s="309">
        <f t="shared" si="66"/>
        <v>0</v>
      </c>
      <c r="BF137" s="309">
        <f t="shared" si="66"/>
        <v>0</v>
      </c>
      <c r="BG137" s="309">
        <f t="shared" si="66"/>
        <v>0</v>
      </c>
      <c r="BH137" s="309">
        <f t="shared" si="66"/>
        <v>0</v>
      </c>
      <c r="BI137" s="309">
        <f t="shared" si="66"/>
        <v>0</v>
      </c>
      <c r="BJ137" s="309">
        <f t="shared" si="66"/>
        <v>0</v>
      </c>
      <c r="BK137" s="309">
        <f t="shared" si="66"/>
        <v>0</v>
      </c>
      <c r="BL137" s="309">
        <f t="shared" si="66"/>
        <v>0</v>
      </c>
      <c r="BM137" s="309">
        <f t="shared" si="66"/>
        <v>0</v>
      </c>
      <c r="BN137" s="309">
        <f t="shared" si="66"/>
        <v>0</v>
      </c>
      <c r="BO137" s="309">
        <f t="shared" si="66"/>
        <v>0</v>
      </c>
      <c r="BP137" s="309">
        <f t="shared" si="66"/>
        <v>0</v>
      </c>
      <c r="BQ137" s="309">
        <f t="shared" si="66"/>
        <v>0</v>
      </c>
      <c r="BR137" s="309">
        <f t="shared" si="66"/>
        <v>0</v>
      </c>
      <c r="BS137" s="309">
        <f t="shared" si="66"/>
        <v>0</v>
      </c>
      <c r="BT137" s="309">
        <f t="shared" si="66"/>
        <v>0</v>
      </c>
      <c r="BU137" s="309">
        <f t="shared" si="66"/>
        <v>0</v>
      </c>
      <c r="BV137" s="309">
        <f t="shared" si="66"/>
        <v>0</v>
      </c>
      <c r="BW137" s="309">
        <f t="shared" si="66"/>
        <v>0</v>
      </c>
      <c r="BX137" s="309">
        <f t="shared" si="66"/>
        <v>0</v>
      </c>
    </row>
    <row r="138" spans="3:76" hidden="1" outlineLevel="1">
      <c r="C138" s="308" t="s">
        <v>266</v>
      </c>
      <c r="D138" s="317"/>
      <c r="E138" s="309"/>
      <c r="F138" s="309"/>
      <c r="G138" s="309"/>
      <c r="H138" s="309"/>
      <c r="I138" s="309"/>
      <c r="J138" s="309"/>
      <c r="K138" s="309"/>
      <c r="L138" s="309"/>
      <c r="M138" s="309"/>
      <c r="N138" s="309"/>
      <c r="O138" s="309"/>
      <c r="P138" s="309"/>
      <c r="Q138" s="309"/>
      <c r="R138" s="309"/>
      <c r="S138" s="309"/>
      <c r="T138" s="309"/>
      <c r="U138" s="309"/>
      <c r="V138" s="309"/>
      <c r="W138" s="309"/>
      <c r="X138" s="309"/>
      <c r="Y138" s="309"/>
      <c r="Z138" s="309"/>
      <c r="AA138" s="309"/>
      <c r="AB138" s="309"/>
      <c r="AC138" s="309"/>
      <c r="AD138" s="309"/>
      <c r="AE138" s="309"/>
      <c r="AF138" s="309"/>
      <c r="AG138" s="309"/>
      <c r="AH138" s="309"/>
      <c r="AI138" s="309"/>
      <c r="AJ138" s="309"/>
      <c r="AK138" s="309"/>
      <c r="AL138" s="309"/>
      <c r="AM138" s="309"/>
      <c r="AN138" s="309"/>
      <c r="AO138" s="309"/>
      <c r="AP138" s="309"/>
      <c r="AQ138" s="309"/>
      <c r="AR138" s="309"/>
      <c r="AS138" s="309"/>
      <c r="AT138" s="309"/>
      <c r="AU138" s="309"/>
      <c r="AV138" s="309"/>
      <c r="AW138" s="309"/>
      <c r="AX138" s="309"/>
      <c r="AY138" s="309"/>
      <c r="AZ138" s="309"/>
      <c r="BA138" s="309"/>
      <c r="BB138" s="309"/>
      <c r="BC138" s="309"/>
      <c r="BD138" s="309"/>
      <c r="BE138" s="309"/>
      <c r="BF138" s="309"/>
      <c r="BG138" s="309"/>
      <c r="BH138" s="309"/>
      <c r="BI138" s="309"/>
      <c r="BJ138" s="309"/>
      <c r="BK138" s="309"/>
      <c r="BL138" s="309"/>
      <c r="BM138" s="309"/>
      <c r="BN138" s="309"/>
      <c r="BO138" s="309"/>
      <c r="BP138" s="309"/>
      <c r="BQ138" s="309"/>
      <c r="BR138" s="309"/>
      <c r="BS138" s="309"/>
      <c r="BT138" s="309"/>
      <c r="BU138" s="309"/>
      <c r="BV138" s="309"/>
      <c r="BW138" s="309"/>
      <c r="BX138" s="309">
        <f>IF(D90&gt;0.25,(BX84-BX93)*D139,BX84*D139)</f>
        <v>0</v>
      </c>
    </row>
    <row r="139" spans="3:76" hidden="1" outlineLevel="1">
      <c r="C139" s="311" t="s">
        <v>267</v>
      </c>
      <c r="D139" s="317">
        <v>0</v>
      </c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  <c r="R139" s="250"/>
      <c r="S139" s="250"/>
      <c r="T139" s="250"/>
      <c r="U139" s="250"/>
      <c r="V139" s="250"/>
      <c r="W139" s="250"/>
      <c r="X139" s="250"/>
      <c r="Y139" s="250"/>
      <c r="Z139" s="250"/>
      <c r="AA139" s="250"/>
      <c r="AB139" s="250"/>
      <c r="AC139" s="250"/>
      <c r="AD139" s="250"/>
      <c r="AE139" s="250"/>
      <c r="AF139" s="250"/>
      <c r="AG139" s="250"/>
      <c r="AH139" s="250"/>
      <c r="AI139" s="250"/>
      <c r="AJ139" s="250"/>
      <c r="AK139" s="250"/>
      <c r="AL139" s="250"/>
      <c r="AM139" s="250"/>
      <c r="AN139" s="250"/>
      <c r="AO139" s="250"/>
      <c r="AP139" s="250"/>
      <c r="AQ139" s="250"/>
      <c r="AR139" s="250"/>
      <c r="AS139" s="250"/>
      <c r="AT139" s="250"/>
      <c r="AU139" s="250"/>
      <c r="AV139" s="250"/>
      <c r="AW139" s="250"/>
      <c r="AX139" s="250"/>
      <c r="AY139" s="250"/>
      <c r="AZ139" s="250"/>
      <c r="BA139" s="250"/>
      <c r="BB139" s="250"/>
      <c r="BC139" s="250"/>
      <c r="BD139" s="250"/>
      <c r="BE139" s="250"/>
      <c r="BF139" s="250"/>
      <c r="BG139" s="250"/>
      <c r="BH139" s="250"/>
      <c r="BI139" s="250"/>
      <c r="BJ139" s="250"/>
      <c r="BK139" s="250"/>
      <c r="BL139" s="250"/>
      <c r="BM139" s="250"/>
      <c r="BN139" s="250"/>
      <c r="BO139" s="250"/>
      <c r="BP139" s="250"/>
      <c r="BQ139" s="250"/>
      <c r="BR139" s="250"/>
      <c r="BS139" s="250"/>
      <c r="BT139" s="250"/>
      <c r="BU139" s="250"/>
      <c r="BV139" s="250"/>
      <c r="BW139" s="250"/>
      <c r="BX139" s="250"/>
    </row>
    <row r="140" spans="3:76" hidden="1" outlineLevel="1">
      <c r="C140" s="308" t="s">
        <v>268</v>
      </c>
      <c r="D140" s="309"/>
      <c r="E140" s="319">
        <f t="shared" ref="E140:BX140" si="67">E135+E136+E137+E138+E139</f>
        <v>0</v>
      </c>
      <c r="F140" s="319">
        <f t="shared" si="67"/>
        <v>0</v>
      </c>
      <c r="G140" s="319">
        <f t="shared" si="67"/>
        <v>0</v>
      </c>
      <c r="H140" s="319">
        <f t="shared" si="67"/>
        <v>0</v>
      </c>
      <c r="I140" s="319">
        <f t="shared" si="67"/>
        <v>0</v>
      </c>
      <c r="J140" s="319">
        <f t="shared" si="67"/>
        <v>0</v>
      </c>
      <c r="K140" s="319">
        <f t="shared" si="67"/>
        <v>0</v>
      </c>
      <c r="L140" s="319">
        <f t="shared" si="67"/>
        <v>0</v>
      </c>
      <c r="M140" s="319">
        <f t="shared" si="67"/>
        <v>0</v>
      </c>
      <c r="N140" s="319">
        <f t="shared" si="67"/>
        <v>0</v>
      </c>
      <c r="O140" s="319">
        <f t="shared" si="67"/>
        <v>0</v>
      </c>
      <c r="P140" s="319">
        <f t="shared" si="67"/>
        <v>0</v>
      </c>
      <c r="Q140" s="319">
        <f t="shared" si="67"/>
        <v>0</v>
      </c>
      <c r="R140" s="319">
        <f t="shared" si="67"/>
        <v>0</v>
      </c>
      <c r="S140" s="319">
        <f t="shared" si="67"/>
        <v>0</v>
      </c>
      <c r="T140" s="319">
        <f t="shared" si="67"/>
        <v>0</v>
      </c>
      <c r="U140" s="319">
        <f t="shared" si="67"/>
        <v>0</v>
      </c>
      <c r="V140" s="319">
        <f t="shared" si="67"/>
        <v>0</v>
      </c>
      <c r="W140" s="319">
        <f t="shared" si="67"/>
        <v>0</v>
      </c>
      <c r="X140" s="319">
        <f t="shared" si="67"/>
        <v>0</v>
      </c>
      <c r="Y140" s="319">
        <f t="shared" si="67"/>
        <v>0</v>
      </c>
      <c r="Z140" s="319">
        <f t="shared" si="67"/>
        <v>0</v>
      </c>
      <c r="AA140" s="319">
        <f t="shared" si="67"/>
        <v>0</v>
      </c>
      <c r="AB140" s="319">
        <f t="shared" si="67"/>
        <v>0</v>
      </c>
      <c r="AC140" s="319">
        <f t="shared" si="67"/>
        <v>0</v>
      </c>
      <c r="AD140" s="319">
        <f t="shared" si="67"/>
        <v>0</v>
      </c>
      <c r="AE140" s="319">
        <f t="shared" si="67"/>
        <v>0</v>
      </c>
      <c r="AF140" s="319">
        <f t="shared" si="67"/>
        <v>0</v>
      </c>
      <c r="AG140" s="319">
        <f t="shared" si="67"/>
        <v>0</v>
      </c>
      <c r="AH140" s="319">
        <f t="shared" si="67"/>
        <v>0</v>
      </c>
      <c r="AI140" s="319">
        <f t="shared" si="67"/>
        <v>0</v>
      </c>
      <c r="AJ140" s="319">
        <f t="shared" si="67"/>
        <v>0</v>
      </c>
      <c r="AK140" s="319">
        <f t="shared" si="67"/>
        <v>0</v>
      </c>
      <c r="AL140" s="319">
        <f t="shared" si="67"/>
        <v>0</v>
      </c>
      <c r="AM140" s="319">
        <f t="shared" si="67"/>
        <v>0</v>
      </c>
      <c r="AN140" s="319">
        <f t="shared" si="67"/>
        <v>0</v>
      </c>
      <c r="AO140" s="319">
        <f t="shared" si="67"/>
        <v>0</v>
      </c>
      <c r="AP140" s="319">
        <f t="shared" si="67"/>
        <v>0</v>
      </c>
      <c r="AQ140" s="319">
        <f t="shared" si="67"/>
        <v>0</v>
      </c>
      <c r="AR140" s="319">
        <f t="shared" si="67"/>
        <v>0</v>
      </c>
      <c r="AS140" s="319">
        <f t="shared" si="67"/>
        <v>0</v>
      </c>
      <c r="AT140" s="319">
        <f t="shared" si="67"/>
        <v>0</v>
      </c>
      <c r="AU140" s="319">
        <f t="shared" si="67"/>
        <v>0</v>
      </c>
      <c r="AV140" s="319">
        <f t="shared" si="67"/>
        <v>0</v>
      </c>
      <c r="AW140" s="319">
        <f t="shared" si="67"/>
        <v>0</v>
      </c>
      <c r="AX140" s="319">
        <f t="shared" si="67"/>
        <v>0</v>
      </c>
      <c r="AY140" s="319">
        <f t="shared" si="67"/>
        <v>0</v>
      </c>
      <c r="AZ140" s="319">
        <f t="shared" si="67"/>
        <v>0</v>
      </c>
      <c r="BA140" s="319">
        <f t="shared" si="67"/>
        <v>0</v>
      </c>
      <c r="BB140" s="319">
        <f t="shared" si="67"/>
        <v>0</v>
      </c>
      <c r="BC140" s="319">
        <f t="shared" si="67"/>
        <v>0</v>
      </c>
      <c r="BD140" s="319">
        <f t="shared" si="67"/>
        <v>0</v>
      </c>
      <c r="BE140" s="319">
        <f t="shared" si="67"/>
        <v>0</v>
      </c>
      <c r="BF140" s="319">
        <f t="shared" si="67"/>
        <v>0</v>
      </c>
      <c r="BG140" s="319">
        <f t="shared" si="67"/>
        <v>0</v>
      </c>
      <c r="BH140" s="319">
        <f t="shared" si="67"/>
        <v>0</v>
      </c>
      <c r="BI140" s="319">
        <f t="shared" si="67"/>
        <v>0</v>
      </c>
      <c r="BJ140" s="319">
        <f t="shared" si="67"/>
        <v>0</v>
      </c>
      <c r="BK140" s="319">
        <f t="shared" si="67"/>
        <v>0</v>
      </c>
      <c r="BL140" s="319">
        <f t="shared" si="67"/>
        <v>0</v>
      </c>
      <c r="BM140" s="319">
        <f t="shared" si="67"/>
        <v>0</v>
      </c>
      <c r="BN140" s="319">
        <f t="shared" si="67"/>
        <v>0</v>
      </c>
      <c r="BO140" s="319">
        <f t="shared" si="67"/>
        <v>0</v>
      </c>
      <c r="BP140" s="319">
        <f t="shared" si="67"/>
        <v>0</v>
      </c>
      <c r="BQ140" s="319">
        <f t="shared" si="67"/>
        <v>0</v>
      </c>
      <c r="BR140" s="319">
        <f t="shared" si="67"/>
        <v>0</v>
      </c>
      <c r="BS140" s="319">
        <f t="shared" si="67"/>
        <v>0</v>
      </c>
      <c r="BT140" s="319">
        <f t="shared" si="67"/>
        <v>0</v>
      </c>
      <c r="BU140" s="319">
        <f t="shared" si="67"/>
        <v>0</v>
      </c>
      <c r="BV140" s="319">
        <f t="shared" si="67"/>
        <v>0</v>
      </c>
      <c r="BW140" s="319">
        <f t="shared" si="67"/>
        <v>0</v>
      </c>
      <c r="BX140" s="319">
        <f t="shared" si="67"/>
        <v>0</v>
      </c>
    </row>
    <row r="141" spans="3:76" hidden="1" outlineLevel="1">
      <c r="C141" s="312"/>
      <c r="D141" s="322" t="s">
        <v>275</v>
      </c>
      <c r="E141" s="321">
        <f>E140</f>
        <v>0</v>
      </c>
      <c r="F141" s="321">
        <f t="shared" ref="F141:BX141" si="68">E141+F140</f>
        <v>0</v>
      </c>
      <c r="G141" s="321">
        <f t="shared" si="68"/>
        <v>0</v>
      </c>
      <c r="H141" s="321">
        <f t="shared" si="68"/>
        <v>0</v>
      </c>
      <c r="I141" s="321">
        <f t="shared" si="68"/>
        <v>0</v>
      </c>
      <c r="J141" s="321">
        <f t="shared" si="68"/>
        <v>0</v>
      </c>
      <c r="K141" s="321">
        <f t="shared" si="68"/>
        <v>0</v>
      </c>
      <c r="L141" s="321">
        <f t="shared" si="68"/>
        <v>0</v>
      </c>
      <c r="M141" s="321">
        <f t="shared" si="68"/>
        <v>0</v>
      </c>
      <c r="N141" s="321">
        <f t="shared" si="68"/>
        <v>0</v>
      </c>
      <c r="O141" s="321">
        <f t="shared" si="68"/>
        <v>0</v>
      </c>
      <c r="P141" s="321">
        <f t="shared" si="68"/>
        <v>0</v>
      </c>
      <c r="Q141" s="321">
        <f t="shared" si="68"/>
        <v>0</v>
      </c>
      <c r="R141" s="321">
        <f t="shared" si="68"/>
        <v>0</v>
      </c>
      <c r="S141" s="321">
        <f t="shared" si="68"/>
        <v>0</v>
      </c>
      <c r="T141" s="321">
        <f t="shared" si="68"/>
        <v>0</v>
      </c>
      <c r="U141" s="321">
        <f t="shared" si="68"/>
        <v>0</v>
      </c>
      <c r="V141" s="321">
        <f t="shared" si="68"/>
        <v>0</v>
      </c>
      <c r="W141" s="321">
        <f t="shared" si="68"/>
        <v>0</v>
      </c>
      <c r="X141" s="321">
        <f t="shared" si="68"/>
        <v>0</v>
      </c>
      <c r="Y141" s="321">
        <f t="shared" si="68"/>
        <v>0</v>
      </c>
      <c r="Z141" s="321">
        <f t="shared" si="68"/>
        <v>0</v>
      </c>
      <c r="AA141" s="321">
        <f t="shared" si="68"/>
        <v>0</v>
      </c>
      <c r="AB141" s="321">
        <f t="shared" si="68"/>
        <v>0</v>
      </c>
      <c r="AC141" s="321">
        <f t="shared" si="68"/>
        <v>0</v>
      </c>
      <c r="AD141" s="321">
        <f t="shared" si="68"/>
        <v>0</v>
      </c>
      <c r="AE141" s="321">
        <f t="shared" si="68"/>
        <v>0</v>
      </c>
      <c r="AF141" s="321">
        <f t="shared" si="68"/>
        <v>0</v>
      </c>
      <c r="AG141" s="321">
        <f t="shared" si="68"/>
        <v>0</v>
      </c>
      <c r="AH141" s="321">
        <f t="shared" si="68"/>
        <v>0</v>
      </c>
      <c r="AI141" s="321">
        <f t="shared" si="68"/>
        <v>0</v>
      </c>
      <c r="AJ141" s="321">
        <f t="shared" si="68"/>
        <v>0</v>
      </c>
      <c r="AK141" s="321">
        <f t="shared" si="68"/>
        <v>0</v>
      </c>
      <c r="AL141" s="321">
        <f t="shared" si="68"/>
        <v>0</v>
      </c>
      <c r="AM141" s="321">
        <f t="shared" si="68"/>
        <v>0</v>
      </c>
      <c r="AN141" s="321">
        <f t="shared" si="68"/>
        <v>0</v>
      </c>
      <c r="AO141" s="321">
        <f t="shared" si="68"/>
        <v>0</v>
      </c>
      <c r="AP141" s="321">
        <f t="shared" si="68"/>
        <v>0</v>
      </c>
      <c r="AQ141" s="321">
        <f t="shared" si="68"/>
        <v>0</v>
      </c>
      <c r="AR141" s="321">
        <f t="shared" si="68"/>
        <v>0</v>
      </c>
      <c r="AS141" s="321">
        <f t="shared" si="68"/>
        <v>0</v>
      </c>
      <c r="AT141" s="321">
        <f t="shared" si="68"/>
        <v>0</v>
      </c>
      <c r="AU141" s="321">
        <f t="shared" si="68"/>
        <v>0</v>
      </c>
      <c r="AV141" s="321">
        <f t="shared" si="68"/>
        <v>0</v>
      </c>
      <c r="AW141" s="321">
        <f t="shared" si="68"/>
        <v>0</v>
      </c>
      <c r="AX141" s="321">
        <f t="shared" si="68"/>
        <v>0</v>
      </c>
      <c r="AY141" s="321">
        <f t="shared" si="68"/>
        <v>0</v>
      </c>
      <c r="AZ141" s="321">
        <f t="shared" si="68"/>
        <v>0</v>
      </c>
      <c r="BA141" s="321">
        <f t="shared" si="68"/>
        <v>0</v>
      </c>
      <c r="BB141" s="321">
        <f t="shared" si="68"/>
        <v>0</v>
      </c>
      <c r="BC141" s="321">
        <f t="shared" si="68"/>
        <v>0</v>
      </c>
      <c r="BD141" s="321">
        <f t="shared" si="68"/>
        <v>0</v>
      </c>
      <c r="BE141" s="321">
        <f t="shared" si="68"/>
        <v>0</v>
      </c>
      <c r="BF141" s="321">
        <f t="shared" si="68"/>
        <v>0</v>
      </c>
      <c r="BG141" s="321">
        <f t="shared" si="68"/>
        <v>0</v>
      </c>
      <c r="BH141" s="321">
        <f t="shared" si="68"/>
        <v>0</v>
      </c>
      <c r="BI141" s="321">
        <f t="shared" si="68"/>
        <v>0</v>
      </c>
      <c r="BJ141" s="321">
        <f t="shared" si="68"/>
        <v>0</v>
      </c>
      <c r="BK141" s="321">
        <f t="shared" si="68"/>
        <v>0</v>
      </c>
      <c r="BL141" s="321">
        <f t="shared" si="68"/>
        <v>0</v>
      </c>
      <c r="BM141" s="321">
        <f t="shared" si="68"/>
        <v>0</v>
      </c>
      <c r="BN141" s="321">
        <f t="shared" si="68"/>
        <v>0</v>
      </c>
      <c r="BO141" s="321">
        <f t="shared" si="68"/>
        <v>0</v>
      </c>
      <c r="BP141" s="321">
        <f t="shared" si="68"/>
        <v>0</v>
      </c>
      <c r="BQ141" s="321">
        <f t="shared" si="68"/>
        <v>0</v>
      </c>
      <c r="BR141" s="321">
        <f t="shared" si="68"/>
        <v>0</v>
      </c>
      <c r="BS141" s="321">
        <f t="shared" si="68"/>
        <v>0</v>
      </c>
      <c r="BT141" s="321">
        <f t="shared" si="68"/>
        <v>0</v>
      </c>
      <c r="BU141" s="321">
        <f t="shared" si="68"/>
        <v>0</v>
      </c>
      <c r="BV141" s="321">
        <f t="shared" si="68"/>
        <v>0</v>
      </c>
      <c r="BW141" s="321">
        <f t="shared" si="68"/>
        <v>0</v>
      </c>
      <c r="BX141" s="321">
        <f t="shared" si="68"/>
        <v>0</v>
      </c>
    </row>
    <row r="142" spans="3:76" hidden="1" outlineLevel="1">
      <c r="C142" s="311" t="s">
        <v>261</v>
      </c>
      <c r="D142" s="322" t="e">
        <f>IRR(E140:BX140)*12</f>
        <v>#NUM!</v>
      </c>
      <c r="E142" s="229"/>
      <c r="F142" s="229"/>
      <c r="G142" s="229"/>
      <c r="H142" s="229"/>
      <c r="I142" s="229"/>
      <c r="J142" s="229"/>
      <c r="K142" s="229"/>
      <c r="L142" s="229"/>
      <c r="M142" s="229"/>
      <c r="N142" s="229"/>
      <c r="O142" s="229"/>
      <c r="P142" s="229"/>
      <c r="Q142" s="229"/>
      <c r="R142" s="229"/>
      <c r="S142" s="229"/>
      <c r="T142" s="229"/>
      <c r="U142" s="229"/>
      <c r="V142" s="229"/>
      <c r="W142" s="229"/>
      <c r="X142" s="229"/>
      <c r="Y142" s="229"/>
      <c r="Z142" s="229"/>
      <c r="AA142" s="229"/>
      <c r="AB142" s="229"/>
      <c r="AC142" s="229"/>
      <c r="AD142" s="229"/>
      <c r="AE142" s="229"/>
      <c r="AF142" s="229"/>
      <c r="AG142" s="229"/>
      <c r="AH142" s="229"/>
      <c r="AI142" s="229"/>
      <c r="AJ142" s="229"/>
      <c r="AK142" s="229"/>
      <c r="AL142" s="229"/>
      <c r="AM142" s="229"/>
      <c r="AN142" s="229"/>
      <c r="AO142" s="229"/>
      <c r="AP142" s="229"/>
      <c r="AQ142" s="229"/>
      <c r="AR142" s="229"/>
      <c r="AS142" s="229"/>
      <c r="AT142" s="229"/>
      <c r="AU142" s="229"/>
      <c r="AV142" s="229"/>
      <c r="AW142" s="229"/>
      <c r="AX142" s="229"/>
      <c r="AY142" s="229"/>
      <c r="AZ142" s="229"/>
      <c r="BA142" s="229"/>
      <c r="BB142" s="229"/>
      <c r="BC142" s="229"/>
      <c r="BD142" s="229"/>
      <c r="BE142" s="229"/>
      <c r="BF142" s="229"/>
      <c r="BG142" s="229"/>
      <c r="BH142" s="229"/>
      <c r="BI142" s="229"/>
      <c r="BJ142" s="229"/>
      <c r="BK142" s="229"/>
      <c r="BL142" s="229"/>
      <c r="BM142" s="229"/>
      <c r="BN142" s="229"/>
      <c r="BO142" s="229"/>
      <c r="BP142" s="229"/>
      <c r="BQ142" s="229"/>
      <c r="BR142" s="229"/>
      <c r="BS142" s="229"/>
      <c r="BT142" s="229"/>
      <c r="BU142" s="229"/>
      <c r="BV142" s="229"/>
      <c r="BW142" s="229"/>
      <c r="BX142" s="229"/>
    </row>
    <row r="143" spans="3:76" hidden="1" outlineLevel="1">
      <c r="C143" s="323" t="s">
        <v>269</v>
      </c>
      <c r="D143" s="324">
        <f>-MIN(M141:BL141)-D144</f>
        <v>0</v>
      </c>
      <c r="E143" s="229"/>
      <c r="F143" s="229"/>
      <c r="G143" s="229"/>
      <c r="H143" s="229"/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29"/>
      <c r="U143" s="229"/>
      <c r="V143" s="229"/>
      <c r="W143" s="229"/>
      <c r="X143" s="229"/>
      <c r="Y143" s="229"/>
      <c r="Z143" s="229"/>
      <c r="AA143" s="229"/>
      <c r="AB143" s="229"/>
      <c r="AC143" s="229"/>
      <c r="AD143" s="229"/>
      <c r="AE143" s="229"/>
      <c r="AF143" s="229"/>
      <c r="AG143" s="229"/>
      <c r="AH143" s="229"/>
      <c r="AI143" s="229"/>
      <c r="AJ143" s="229"/>
      <c r="AK143" s="229"/>
      <c r="AL143" s="229"/>
      <c r="AM143" s="229"/>
      <c r="AN143" s="229"/>
      <c r="AO143" s="229"/>
      <c r="AP143" s="229"/>
      <c r="AQ143" s="229"/>
      <c r="AR143" s="229"/>
      <c r="AS143" s="229"/>
      <c r="AT143" s="229"/>
      <c r="AU143" s="229"/>
      <c r="AV143" s="229"/>
      <c r="AW143" s="229"/>
      <c r="AX143" s="229"/>
      <c r="AY143" s="229"/>
      <c r="AZ143" s="229"/>
      <c r="BA143" s="229"/>
      <c r="BB143" s="229"/>
      <c r="BC143" s="229"/>
      <c r="BD143" s="229"/>
      <c r="BE143" s="229"/>
      <c r="BF143" s="229"/>
      <c r="BG143" s="229"/>
      <c r="BH143" s="229"/>
      <c r="BI143" s="229"/>
      <c r="BJ143" s="229"/>
      <c r="BK143" s="229"/>
      <c r="BL143" s="229"/>
      <c r="BM143" s="229"/>
      <c r="BN143" s="229"/>
      <c r="BO143" s="229"/>
      <c r="BP143" s="229"/>
      <c r="BQ143" s="229"/>
      <c r="BR143" s="229"/>
      <c r="BS143" s="229"/>
      <c r="BT143" s="229"/>
      <c r="BU143" s="229"/>
      <c r="BV143" s="229"/>
      <c r="BW143" s="229"/>
      <c r="BX143" s="229"/>
    </row>
    <row r="144" spans="3:76" hidden="1" outlineLevel="1">
      <c r="C144" s="323" t="s">
        <v>276</v>
      </c>
      <c r="D144" s="324">
        <f>-SUM(M139:BB139)</f>
        <v>0</v>
      </c>
      <c r="E144" s="229"/>
      <c r="F144" s="229"/>
      <c r="G144" s="229"/>
      <c r="H144" s="229"/>
      <c r="I144" s="229"/>
      <c r="J144" s="229"/>
      <c r="K144" s="229"/>
      <c r="L144" s="229"/>
      <c r="M144" s="229"/>
      <c r="N144" s="229"/>
      <c r="O144" s="229"/>
      <c r="P144" s="229"/>
      <c r="Q144" s="229"/>
      <c r="R144" s="229"/>
      <c r="S144" s="229"/>
      <c r="T144" s="229"/>
      <c r="U144" s="229"/>
      <c r="V144" s="229"/>
      <c r="W144" s="229"/>
      <c r="X144" s="229"/>
      <c r="Y144" s="229"/>
      <c r="Z144" s="229"/>
      <c r="AA144" s="229"/>
      <c r="AB144" s="229"/>
      <c r="AC144" s="229"/>
      <c r="AD144" s="229"/>
      <c r="AE144" s="229"/>
      <c r="AF144" s="229"/>
      <c r="AG144" s="229"/>
      <c r="AH144" s="229"/>
      <c r="AI144" s="229"/>
      <c r="AJ144" s="229"/>
      <c r="AK144" s="229"/>
      <c r="AL144" s="229"/>
      <c r="AM144" s="229"/>
      <c r="AN144" s="229"/>
      <c r="AO144" s="229"/>
      <c r="AP144" s="229"/>
      <c r="AQ144" s="229"/>
      <c r="AR144" s="229"/>
      <c r="AS144" s="229"/>
      <c r="AT144" s="229"/>
      <c r="AU144" s="229"/>
      <c r="AV144" s="229"/>
      <c r="AW144" s="229"/>
      <c r="AX144" s="229"/>
      <c r="AY144" s="229"/>
      <c r="AZ144" s="229"/>
      <c r="BA144" s="229"/>
      <c r="BB144" s="229"/>
      <c r="BC144" s="229"/>
      <c r="BD144" s="229"/>
      <c r="BE144" s="229"/>
      <c r="BF144" s="229"/>
      <c r="BG144" s="229"/>
      <c r="BH144" s="229"/>
      <c r="BI144" s="229"/>
      <c r="BJ144" s="229"/>
      <c r="BK144" s="229"/>
      <c r="BL144" s="229"/>
      <c r="BM144" s="229"/>
      <c r="BN144" s="229"/>
      <c r="BO144" s="229"/>
      <c r="BP144" s="229"/>
      <c r="BQ144" s="229"/>
      <c r="BR144" s="229"/>
      <c r="BS144" s="229"/>
      <c r="BT144" s="229"/>
      <c r="BU144" s="229"/>
      <c r="BV144" s="229"/>
      <c r="BW144" s="229"/>
      <c r="BX144" s="229"/>
    </row>
    <row r="145" spans="3:76" hidden="1" outlineLevel="1">
      <c r="C145" s="311" t="s">
        <v>270</v>
      </c>
      <c r="D145" s="325">
        <f>D144+D143</f>
        <v>0</v>
      </c>
      <c r="E145" s="229"/>
      <c r="F145" s="229"/>
      <c r="G145" s="229"/>
      <c r="H145" s="229"/>
      <c r="I145" s="229"/>
      <c r="J145" s="229"/>
      <c r="K145" s="229"/>
      <c r="L145" s="229"/>
      <c r="M145" s="229"/>
      <c r="N145" s="229"/>
      <c r="O145" s="229"/>
      <c r="P145" s="229"/>
      <c r="Q145" s="229"/>
      <c r="R145" s="229"/>
      <c r="S145" s="229"/>
      <c r="T145" s="229"/>
      <c r="U145" s="229"/>
      <c r="V145" s="229"/>
      <c r="W145" s="229"/>
      <c r="X145" s="229"/>
      <c r="Y145" s="229"/>
      <c r="Z145" s="229"/>
      <c r="AA145" s="229"/>
      <c r="AB145" s="229"/>
      <c r="AC145" s="229"/>
      <c r="AD145" s="229"/>
      <c r="AE145" s="229"/>
      <c r="AF145" s="229"/>
      <c r="AG145" s="229"/>
      <c r="AH145" s="229"/>
      <c r="AI145" s="229"/>
      <c r="AJ145" s="229"/>
      <c r="AK145" s="229"/>
      <c r="AL145" s="229"/>
      <c r="AM145" s="229"/>
      <c r="AN145" s="229"/>
      <c r="AO145" s="229"/>
      <c r="AP145" s="229"/>
      <c r="AQ145" s="229"/>
      <c r="AR145" s="229"/>
      <c r="AS145" s="229"/>
      <c r="AT145" s="229"/>
      <c r="AU145" s="229"/>
      <c r="AV145" s="229"/>
      <c r="AW145" s="229"/>
      <c r="AX145" s="229"/>
      <c r="AY145" s="229"/>
      <c r="AZ145" s="229"/>
      <c r="BA145" s="229"/>
      <c r="BB145" s="229"/>
      <c r="BC145" s="229"/>
      <c r="BD145" s="229"/>
      <c r="BE145" s="229"/>
      <c r="BF145" s="229"/>
      <c r="BG145" s="229"/>
      <c r="BH145" s="229"/>
      <c r="BI145" s="229"/>
      <c r="BJ145" s="229"/>
      <c r="BK145" s="229"/>
      <c r="BL145" s="229"/>
      <c r="BM145" s="229"/>
      <c r="BN145" s="229"/>
      <c r="BO145" s="229"/>
      <c r="BP145" s="229"/>
      <c r="BQ145" s="229"/>
      <c r="BR145" s="229"/>
      <c r="BS145" s="229"/>
      <c r="BT145" s="229"/>
      <c r="BU145" s="229"/>
      <c r="BV145" s="229"/>
      <c r="BW145" s="229"/>
      <c r="BX145" s="229"/>
    </row>
    <row r="146" spans="3:76" hidden="1" outlineLevel="1">
      <c r="C146" s="311" t="s">
        <v>271</v>
      </c>
      <c r="D146" s="325">
        <f>BX137+BX138</f>
        <v>0</v>
      </c>
      <c r="E146" s="229"/>
      <c r="F146" s="229"/>
      <c r="G146" s="229"/>
      <c r="H146" s="229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  <c r="U146" s="229"/>
      <c r="V146" s="229"/>
      <c r="W146" s="229"/>
      <c r="X146" s="229"/>
      <c r="Y146" s="229"/>
      <c r="Z146" s="229"/>
      <c r="AA146" s="229"/>
      <c r="AB146" s="229"/>
      <c r="AC146" s="229"/>
      <c r="AD146" s="229"/>
      <c r="AE146" s="229"/>
      <c r="AF146" s="229"/>
      <c r="AG146" s="229"/>
      <c r="AH146" s="229"/>
      <c r="AI146" s="229"/>
      <c r="AJ146" s="229"/>
      <c r="AK146" s="229"/>
      <c r="AL146" s="229"/>
      <c r="AM146" s="229"/>
      <c r="AN146" s="229"/>
      <c r="AO146" s="229"/>
      <c r="AP146" s="229"/>
      <c r="AQ146" s="229"/>
      <c r="AR146" s="229"/>
      <c r="AS146" s="229"/>
      <c r="AT146" s="229"/>
      <c r="AU146" s="229"/>
      <c r="AV146" s="229"/>
      <c r="AW146" s="229"/>
      <c r="AX146" s="229"/>
      <c r="AY146" s="229"/>
      <c r="AZ146" s="229"/>
      <c r="BA146" s="229"/>
      <c r="BB146" s="229"/>
      <c r="BC146" s="229"/>
      <c r="BD146" s="229"/>
      <c r="BE146" s="229"/>
      <c r="BF146" s="229"/>
      <c r="BG146" s="229"/>
      <c r="BH146" s="229"/>
      <c r="BI146" s="229"/>
      <c r="BJ146" s="229"/>
      <c r="BK146" s="229"/>
      <c r="BL146" s="229"/>
      <c r="BM146" s="229"/>
      <c r="BN146" s="229"/>
      <c r="BO146" s="229"/>
      <c r="BP146" s="229"/>
      <c r="BQ146" s="229"/>
      <c r="BR146" s="229"/>
      <c r="BS146" s="229"/>
      <c r="BT146" s="229"/>
      <c r="BU146" s="229"/>
      <c r="BV146" s="229"/>
      <c r="BW146" s="229"/>
      <c r="BX146" s="229"/>
    </row>
    <row r="147" spans="3:76" hidden="1" outlineLevel="1">
      <c r="C147" s="311" t="s">
        <v>272</v>
      </c>
      <c r="D147" s="322" t="e">
        <f>(D146-D144)/D145</f>
        <v>#DIV/0!</v>
      </c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29"/>
      <c r="AU147" s="229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29"/>
      <c r="BF147" s="229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29"/>
      <c r="BQ147" s="229"/>
      <c r="BR147" s="229"/>
      <c r="BS147" s="229"/>
      <c r="BT147" s="229"/>
      <c r="BU147" s="229"/>
      <c r="BV147" s="229"/>
      <c r="BW147" s="229"/>
      <c r="BX147" s="229"/>
    </row>
    <row r="148" spans="3:76" hidden="1">
      <c r="E148" s="229"/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  <c r="U148" s="229"/>
      <c r="V148" s="229"/>
      <c r="W148" s="229"/>
      <c r="X148" s="229"/>
      <c r="Y148" s="229"/>
      <c r="Z148" s="229"/>
      <c r="AA148" s="229"/>
      <c r="AB148" s="229"/>
      <c r="AC148" s="229"/>
      <c r="AD148" s="229"/>
      <c r="AE148" s="229"/>
      <c r="AF148" s="229"/>
      <c r="AG148" s="229"/>
      <c r="AH148" s="229"/>
      <c r="AI148" s="229"/>
      <c r="AJ148" s="229"/>
      <c r="AK148" s="229"/>
      <c r="AL148" s="229"/>
      <c r="AM148" s="229"/>
      <c r="AN148" s="229"/>
      <c r="AO148" s="229"/>
      <c r="AP148" s="229"/>
      <c r="AQ148" s="229"/>
      <c r="AR148" s="229"/>
      <c r="AS148" s="229"/>
      <c r="AT148" s="229"/>
      <c r="AU148" s="229"/>
      <c r="AV148" s="229"/>
      <c r="AW148" s="229"/>
      <c r="AX148" s="229"/>
      <c r="AY148" s="229"/>
      <c r="AZ148" s="229"/>
      <c r="BA148" s="229"/>
      <c r="BB148" s="229"/>
      <c r="BC148" s="229"/>
      <c r="BD148" s="229"/>
      <c r="BE148" s="229"/>
      <c r="BF148" s="229"/>
      <c r="BG148" s="229"/>
      <c r="BH148" s="229"/>
      <c r="BI148" s="229"/>
      <c r="BJ148" s="229"/>
      <c r="BK148" s="229"/>
      <c r="BL148" s="229"/>
      <c r="BM148" s="229"/>
      <c r="BN148" s="229"/>
      <c r="BO148" s="229"/>
      <c r="BP148" s="229"/>
      <c r="BQ148" s="229"/>
      <c r="BR148" s="229"/>
      <c r="BS148" s="229"/>
      <c r="BT148" s="229"/>
      <c r="BU148" s="229"/>
      <c r="BV148" s="229"/>
      <c r="BW148" s="229"/>
      <c r="BX148" s="229"/>
    </row>
    <row r="149" spans="3:76" hidden="1">
      <c r="E149" s="229"/>
      <c r="F149" s="229"/>
      <c r="G149" s="229"/>
      <c r="H149" s="229"/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29"/>
      <c r="U149" s="229"/>
      <c r="V149" s="229"/>
      <c r="W149" s="229"/>
      <c r="X149" s="229"/>
      <c r="Y149" s="229"/>
      <c r="Z149" s="229"/>
      <c r="AA149" s="229"/>
      <c r="AB149" s="229"/>
      <c r="AC149" s="229"/>
      <c r="AD149" s="229"/>
      <c r="AE149" s="229"/>
      <c r="AF149" s="229"/>
      <c r="AG149" s="229"/>
      <c r="AH149" s="229"/>
      <c r="AI149" s="229"/>
      <c r="AJ149" s="229"/>
      <c r="AK149" s="229"/>
      <c r="AL149" s="229"/>
      <c r="AM149" s="229"/>
      <c r="AN149" s="229"/>
      <c r="AO149" s="229"/>
      <c r="AP149" s="229"/>
      <c r="AQ149" s="229"/>
      <c r="AR149" s="229"/>
      <c r="AS149" s="229"/>
      <c r="AT149" s="229"/>
      <c r="AU149" s="229"/>
      <c r="AV149" s="229"/>
      <c r="AW149" s="229"/>
      <c r="AX149" s="229"/>
      <c r="AY149" s="229"/>
      <c r="AZ149" s="229"/>
      <c r="BA149" s="229"/>
      <c r="BB149" s="229"/>
      <c r="BC149" s="229"/>
      <c r="BD149" s="229"/>
      <c r="BE149" s="229"/>
      <c r="BF149" s="229"/>
      <c r="BG149" s="229"/>
      <c r="BH149" s="229"/>
      <c r="BI149" s="229"/>
      <c r="BJ149" s="229"/>
      <c r="BK149" s="229"/>
      <c r="BL149" s="229"/>
      <c r="BM149" s="229"/>
      <c r="BN149" s="229"/>
      <c r="BO149" s="229"/>
      <c r="BP149" s="229"/>
      <c r="BQ149" s="229"/>
      <c r="BR149" s="229"/>
      <c r="BS149" s="229"/>
      <c r="BT149" s="229"/>
      <c r="BU149" s="229"/>
      <c r="BV149" s="229"/>
      <c r="BW149" s="229"/>
      <c r="BX149" s="229"/>
    </row>
    <row r="150" spans="3:76" hidden="1">
      <c r="E150" s="229"/>
      <c r="F150" s="229"/>
      <c r="G150" s="229"/>
      <c r="H150" s="229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  <c r="U150" s="229"/>
      <c r="V150" s="229"/>
      <c r="W150" s="229"/>
      <c r="X150" s="229"/>
      <c r="Y150" s="229"/>
      <c r="Z150" s="229"/>
      <c r="AA150" s="229"/>
      <c r="AB150" s="229"/>
      <c r="AC150" s="229"/>
      <c r="AD150" s="229"/>
      <c r="AE150" s="229"/>
      <c r="AF150" s="229"/>
      <c r="AG150" s="229"/>
      <c r="AH150" s="229"/>
      <c r="AI150" s="229"/>
      <c r="AJ150" s="229"/>
      <c r="AK150" s="229"/>
      <c r="AL150" s="229"/>
      <c r="AM150" s="229"/>
      <c r="AN150" s="229"/>
      <c r="AO150" s="229"/>
      <c r="AP150" s="229"/>
      <c r="AQ150" s="229"/>
      <c r="AR150" s="229"/>
      <c r="AS150" s="229"/>
      <c r="AT150" s="229"/>
      <c r="AU150" s="229"/>
      <c r="AV150" s="229"/>
      <c r="AW150" s="229"/>
      <c r="AX150" s="229"/>
      <c r="AY150" s="229"/>
      <c r="AZ150" s="229"/>
      <c r="BA150" s="229"/>
      <c r="BB150" s="229"/>
      <c r="BC150" s="229"/>
      <c r="BD150" s="229"/>
      <c r="BE150" s="229"/>
      <c r="BF150" s="229"/>
      <c r="BG150" s="229"/>
      <c r="BH150" s="229"/>
      <c r="BI150" s="229"/>
      <c r="BJ150" s="229"/>
      <c r="BK150" s="229"/>
      <c r="BL150" s="229"/>
      <c r="BM150" s="229"/>
      <c r="BN150" s="229"/>
      <c r="BO150" s="229"/>
      <c r="BP150" s="229"/>
      <c r="BQ150" s="229"/>
      <c r="BR150" s="229"/>
      <c r="BS150" s="229"/>
      <c r="BT150" s="229"/>
      <c r="BU150" s="229"/>
      <c r="BV150" s="229"/>
      <c r="BW150" s="229"/>
      <c r="BX150" s="229"/>
    </row>
    <row r="151" spans="3:76" hidden="1">
      <c r="E151" s="229"/>
      <c r="F151" s="229"/>
      <c r="G151" s="229"/>
      <c r="H151" s="229"/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29"/>
      <c r="U151" s="229"/>
      <c r="V151" s="229"/>
      <c r="W151" s="229"/>
      <c r="X151" s="229"/>
      <c r="Y151" s="229"/>
      <c r="Z151" s="229"/>
      <c r="AA151" s="229"/>
      <c r="AB151" s="229"/>
      <c r="AC151" s="229"/>
      <c r="AD151" s="229"/>
      <c r="AE151" s="229"/>
      <c r="AF151" s="229"/>
      <c r="AG151" s="229"/>
      <c r="AH151" s="229"/>
      <c r="AI151" s="229"/>
      <c r="AJ151" s="229"/>
      <c r="AK151" s="229"/>
      <c r="AL151" s="229"/>
      <c r="AM151" s="229"/>
      <c r="AN151" s="229"/>
      <c r="AO151" s="229"/>
      <c r="AP151" s="229"/>
      <c r="AQ151" s="229"/>
      <c r="AR151" s="229"/>
      <c r="AS151" s="229"/>
      <c r="AT151" s="229"/>
      <c r="AU151" s="229"/>
      <c r="AV151" s="229"/>
      <c r="AW151" s="229"/>
      <c r="AX151" s="229"/>
      <c r="AY151" s="229"/>
      <c r="AZ151" s="229"/>
      <c r="BA151" s="229"/>
      <c r="BB151" s="229"/>
      <c r="BC151" s="229"/>
      <c r="BD151" s="229"/>
      <c r="BE151" s="229"/>
      <c r="BF151" s="229"/>
      <c r="BG151" s="229"/>
      <c r="BH151" s="229"/>
      <c r="BI151" s="229"/>
      <c r="BJ151" s="229"/>
      <c r="BK151" s="229"/>
      <c r="BL151" s="229"/>
      <c r="BM151" s="229"/>
      <c r="BN151" s="229"/>
      <c r="BO151" s="229"/>
      <c r="BP151" s="229"/>
      <c r="BQ151" s="229"/>
      <c r="BR151" s="229"/>
      <c r="BS151" s="229"/>
      <c r="BT151" s="229"/>
      <c r="BU151" s="229"/>
      <c r="BV151" s="229"/>
      <c r="BW151" s="229"/>
      <c r="BX151" s="229"/>
    </row>
    <row r="152" spans="3:76" hidden="1" collapsed="1">
      <c r="C152" s="308" t="s">
        <v>278</v>
      </c>
      <c r="D152" s="309"/>
      <c r="E152" s="310">
        <f t="shared" ref="E152:BX152" si="69">-(E8+E77)</f>
        <v>0</v>
      </c>
      <c r="F152" s="310">
        <f t="shared" si="69"/>
        <v>0</v>
      </c>
      <c r="G152" s="310">
        <f t="shared" si="69"/>
        <v>0</v>
      </c>
      <c r="H152" s="310">
        <f t="shared" si="69"/>
        <v>0</v>
      </c>
      <c r="I152" s="310">
        <f t="shared" si="69"/>
        <v>0</v>
      </c>
      <c r="J152" s="310">
        <f t="shared" si="69"/>
        <v>0</v>
      </c>
      <c r="K152" s="310">
        <f t="shared" si="69"/>
        <v>0</v>
      </c>
      <c r="L152" s="310">
        <f t="shared" si="69"/>
        <v>0</v>
      </c>
      <c r="M152" s="310">
        <f t="shared" si="69"/>
        <v>0</v>
      </c>
      <c r="N152" s="310">
        <f t="shared" si="69"/>
        <v>0</v>
      </c>
      <c r="O152" s="310">
        <f t="shared" si="69"/>
        <v>0</v>
      </c>
      <c r="P152" s="310">
        <f t="shared" si="69"/>
        <v>0</v>
      </c>
      <c r="Q152" s="310">
        <f t="shared" si="69"/>
        <v>0</v>
      </c>
      <c r="R152" s="310">
        <f t="shared" si="69"/>
        <v>0</v>
      </c>
      <c r="S152" s="310">
        <f t="shared" si="69"/>
        <v>0</v>
      </c>
      <c r="T152" s="310">
        <f t="shared" si="69"/>
        <v>0</v>
      </c>
      <c r="U152" s="310">
        <f t="shared" si="69"/>
        <v>0</v>
      </c>
      <c r="V152" s="310">
        <f t="shared" si="69"/>
        <v>0</v>
      </c>
      <c r="W152" s="310">
        <f t="shared" si="69"/>
        <v>0</v>
      </c>
      <c r="X152" s="310">
        <f t="shared" si="69"/>
        <v>0</v>
      </c>
      <c r="Y152" s="310">
        <f t="shared" si="69"/>
        <v>0</v>
      </c>
      <c r="Z152" s="310">
        <f t="shared" si="69"/>
        <v>0</v>
      </c>
      <c r="AA152" s="310">
        <f t="shared" si="69"/>
        <v>0</v>
      </c>
      <c r="AB152" s="310">
        <f t="shared" si="69"/>
        <v>0</v>
      </c>
      <c r="AC152" s="310">
        <f t="shared" si="69"/>
        <v>0</v>
      </c>
      <c r="AD152" s="310">
        <f t="shared" si="69"/>
        <v>0</v>
      </c>
      <c r="AE152" s="310">
        <f t="shared" si="69"/>
        <v>0</v>
      </c>
      <c r="AF152" s="310">
        <f t="shared" si="69"/>
        <v>0</v>
      </c>
      <c r="AG152" s="310">
        <f t="shared" si="69"/>
        <v>0</v>
      </c>
      <c r="AH152" s="310">
        <f t="shared" si="69"/>
        <v>0</v>
      </c>
      <c r="AI152" s="310">
        <f t="shared" si="69"/>
        <v>0</v>
      </c>
      <c r="AJ152" s="310">
        <f t="shared" si="69"/>
        <v>0</v>
      </c>
      <c r="AK152" s="310">
        <f t="shared" si="69"/>
        <v>0</v>
      </c>
      <c r="AL152" s="310">
        <f t="shared" si="69"/>
        <v>0</v>
      </c>
      <c r="AM152" s="310">
        <f t="shared" si="69"/>
        <v>0</v>
      </c>
      <c r="AN152" s="310">
        <f t="shared" si="69"/>
        <v>0</v>
      </c>
      <c r="AO152" s="310">
        <f t="shared" si="69"/>
        <v>0</v>
      </c>
      <c r="AP152" s="310">
        <f t="shared" si="69"/>
        <v>0</v>
      </c>
      <c r="AQ152" s="310">
        <f t="shared" si="69"/>
        <v>0</v>
      </c>
      <c r="AR152" s="310">
        <f t="shared" si="69"/>
        <v>0</v>
      </c>
      <c r="AS152" s="310">
        <f t="shared" si="69"/>
        <v>0</v>
      </c>
      <c r="AT152" s="310">
        <f t="shared" si="69"/>
        <v>0</v>
      </c>
      <c r="AU152" s="310">
        <f t="shared" si="69"/>
        <v>0</v>
      </c>
      <c r="AV152" s="310">
        <f t="shared" si="69"/>
        <v>0</v>
      </c>
      <c r="AW152" s="310">
        <f t="shared" si="69"/>
        <v>0</v>
      </c>
      <c r="AX152" s="310">
        <f t="shared" si="69"/>
        <v>0</v>
      </c>
      <c r="AY152" s="310">
        <f t="shared" si="69"/>
        <v>0</v>
      </c>
      <c r="AZ152" s="310">
        <f t="shared" si="69"/>
        <v>0</v>
      </c>
      <c r="BA152" s="310">
        <f t="shared" si="69"/>
        <v>0</v>
      </c>
      <c r="BB152" s="310">
        <f t="shared" si="69"/>
        <v>0</v>
      </c>
      <c r="BC152" s="310">
        <f t="shared" si="69"/>
        <v>0</v>
      </c>
      <c r="BD152" s="310">
        <f t="shared" si="69"/>
        <v>0</v>
      </c>
      <c r="BE152" s="310">
        <f t="shared" si="69"/>
        <v>0</v>
      </c>
      <c r="BF152" s="310">
        <f t="shared" si="69"/>
        <v>0</v>
      </c>
      <c r="BG152" s="310">
        <f t="shared" si="69"/>
        <v>0</v>
      </c>
      <c r="BH152" s="310">
        <f t="shared" si="69"/>
        <v>0</v>
      </c>
      <c r="BI152" s="310">
        <f t="shared" si="69"/>
        <v>0</v>
      </c>
      <c r="BJ152" s="310">
        <f t="shared" si="69"/>
        <v>0</v>
      </c>
      <c r="BK152" s="310">
        <f t="shared" si="69"/>
        <v>0</v>
      </c>
      <c r="BL152" s="310">
        <f t="shared" si="69"/>
        <v>0</v>
      </c>
      <c r="BM152" s="310">
        <f t="shared" si="69"/>
        <v>0</v>
      </c>
      <c r="BN152" s="310">
        <f t="shared" si="69"/>
        <v>0</v>
      </c>
      <c r="BO152" s="310">
        <f t="shared" si="69"/>
        <v>0</v>
      </c>
      <c r="BP152" s="310">
        <f t="shared" si="69"/>
        <v>0</v>
      </c>
      <c r="BQ152" s="310">
        <f t="shared" si="69"/>
        <v>0</v>
      </c>
      <c r="BR152" s="310">
        <f t="shared" si="69"/>
        <v>0</v>
      </c>
      <c r="BS152" s="310">
        <f t="shared" si="69"/>
        <v>0</v>
      </c>
      <c r="BT152" s="310">
        <f t="shared" si="69"/>
        <v>0</v>
      </c>
      <c r="BU152" s="310">
        <f t="shared" si="69"/>
        <v>0</v>
      </c>
      <c r="BV152" s="310">
        <f t="shared" si="69"/>
        <v>0</v>
      </c>
      <c r="BW152" s="310">
        <f t="shared" si="69"/>
        <v>0</v>
      </c>
      <c r="BX152" s="310">
        <f t="shared" si="69"/>
        <v>0</v>
      </c>
    </row>
    <row r="153" spans="3:76" hidden="1" outlineLevel="1">
      <c r="C153" s="308" t="s">
        <v>274</v>
      </c>
      <c r="D153" s="317"/>
      <c r="E153" s="309"/>
      <c r="F153" s="309"/>
      <c r="G153" s="309"/>
      <c r="H153" s="309"/>
      <c r="I153" s="309"/>
      <c r="J153" s="309"/>
      <c r="K153" s="309"/>
      <c r="L153" s="309"/>
      <c r="M153" s="309"/>
      <c r="N153" s="309"/>
      <c r="O153" s="309"/>
      <c r="P153" s="309"/>
      <c r="Q153" s="309"/>
      <c r="R153" s="309"/>
      <c r="S153" s="309"/>
      <c r="T153" s="309"/>
      <c r="U153" s="309"/>
      <c r="V153" s="309"/>
      <c r="W153" s="309"/>
      <c r="X153" s="309"/>
      <c r="Y153" s="309"/>
      <c r="Z153" s="309"/>
      <c r="AA153" s="309"/>
      <c r="AB153" s="309"/>
      <c r="AC153" s="309"/>
      <c r="AD153" s="309"/>
      <c r="AE153" s="309"/>
      <c r="AF153" s="309"/>
      <c r="AG153" s="309"/>
      <c r="AH153" s="309"/>
      <c r="AI153" s="309"/>
      <c r="AJ153" s="309"/>
      <c r="AK153" s="309"/>
      <c r="AL153" s="309"/>
      <c r="AM153" s="309"/>
      <c r="AN153" s="309"/>
      <c r="AO153" s="309"/>
      <c r="AP153" s="309"/>
      <c r="AQ153" s="309"/>
      <c r="AR153" s="309"/>
      <c r="AS153" s="309"/>
      <c r="AT153" s="309"/>
      <c r="AU153" s="309"/>
      <c r="AV153" s="309"/>
      <c r="AW153" s="309"/>
      <c r="AX153" s="309"/>
      <c r="AY153" s="309"/>
      <c r="AZ153" s="309"/>
      <c r="BA153" s="309"/>
      <c r="BB153" s="309"/>
      <c r="BC153" s="310"/>
      <c r="BD153" s="309"/>
      <c r="BE153" s="309"/>
      <c r="BF153" s="309"/>
      <c r="BG153" s="309"/>
      <c r="BH153" s="309"/>
      <c r="BI153" s="309"/>
      <c r="BJ153" s="309"/>
      <c r="BK153" s="309"/>
      <c r="BL153" s="309"/>
      <c r="BM153" s="309"/>
      <c r="BN153" s="309"/>
      <c r="BO153" s="309"/>
      <c r="BP153" s="309"/>
      <c r="BQ153" s="309"/>
      <c r="BR153" s="309"/>
      <c r="BS153" s="309"/>
      <c r="BT153" s="309"/>
      <c r="BU153" s="309"/>
      <c r="BV153" s="309"/>
      <c r="BW153" s="309"/>
      <c r="BX153" s="309"/>
    </row>
    <row r="154" spans="3:76" hidden="1" outlineLevel="1">
      <c r="C154" s="308" t="s">
        <v>265</v>
      </c>
      <c r="D154" s="317"/>
      <c r="E154" s="309">
        <f t="shared" ref="E154:BX154" si="70">-E58</f>
        <v>0</v>
      </c>
      <c r="F154" s="309">
        <f t="shared" si="70"/>
        <v>0</v>
      </c>
      <c r="G154" s="309">
        <f t="shared" si="70"/>
        <v>0</v>
      </c>
      <c r="H154" s="309">
        <f t="shared" si="70"/>
        <v>0</v>
      </c>
      <c r="I154" s="309">
        <f t="shared" si="70"/>
        <v>0</v>
      </c>
      <c r="J154" s="309">
        <f t="shared" si="70"/>
        <v>0</v>
      </c>
      <c r="K154" s="309">
        <f t="shared" si="70"/>
        <v>0</v>
      </c>
      <c r="L154" s="309">
        <f t="shared" si="70"/>
        <v>0</v>
      </c>
      <c r="M154" s="309">
        <f t="shared" si="70"/>
        <v>0</v>
      </c>
      <c r="N154" s="309">
        <f t="shared" si="70"/>
        <v>0</v>
      </c>
      <c r="O154" s="309">
        <f t="shared" si="70"/>
        <v>0</v>
      </c>
      <c r="P154" s="309">
        <f t="shared" si="70"/>
        <v>0</v>
      </c>
      <c r="Q154" s="309">
        <f t="shared" si="70"/>
        <v>0</v>
      </c>
      <c r="R154" s="309">
        <f t="shared" si="70"/>
        <v>0</v>
      </c>
      <c r="S154" s="309">
        <f t="shared" si="70"/>
        <v>0</v>
      </c>
      <c r="T154" s="309">
        <f t="shared" si="70"/>
        <v>0</v>
      </c>
      <c r="U154" s="309">
        <f t="shared" si="70"/>
        <v>0</v>
      </c>
      <c r="V154" s="309">
        <f t="shared" si="70"/>
        <v>0</v>
      </c>
      <c r="W154" s="309">
        <f t="shared" si="70"/>
        <v>0</v>
      </c>
      <c r="X154" s="309">
        <f t="shared" si="70"/>
        <v>0</v>
      </c>
      <c r="Y154" s="309">
        <f t="shared" si="70"/>
        <v>0</v>
      </c>
      <c r="Z154" s="309">
        <f t="shared" si="70"/>
        <v>0</v>
      </c>
      <c r="AA154" s="309">
        <f t="shared" si="70"/>
        <v>0</v>
      </c>
      <c r="AB154" s="309">
        <f t="shared" si="70"/>
        <v>0</v>
      </c>
      <c r="AC154" s="309">
        <f t="shared" si="70"/>
        <v>0</v>
      </c>
      <c r="AD154" s="309">
        <f t="shared" si="70"/>
        <v>0</v>
      </c>
      <c r="AE154" s="309">
        <f t="shared" si="70"/>
        <v>0</v>
      </c>
      <c r="AF154" s="309">
        <f t="shared" si="70"/>
        <v>0</v>
      </c>
      <c r="AG154" s="309">
        <f t="shared" si="70"/>
        <v>0</v>
      </c>
      <c r="AH154" s="309">
        <f t="shared" si="70"/>
        <v>0</v>
      </c>
      <c r="AI154" s="309">
        <f t="shared" si="70"/>
        <v>0</v>
      </c>
      <c r="AJ154" s="309">
        <f t="shared" si="70"/>
        <v>0</v>
      </c>
      <c r="AK154" s="309">
        <f t="shared" si="70"/>
        <v>0</v>
      </c>
      <c r="AL154" s="309">
        <f t="shared" si="70"/>
        <v>0</v>
      </c>
      <c r="AM154" s="309">
        <f t="shared" si="70"/>
        <v>0</v>
      </c>
      <c r="AN154" s="309">
        <f t="shared" si="70"/>
        <v>0</v>
      </c>
      <c r="AO154" s="309">
        <f t="shared" si="70"/>
        <v>0</v>
      </c>
      <c r="AP154" s="309">
        <f t="shared" si="70"/>
        <v>0</v>
      </c>
      <c r="AQ154" s="309">
        <f t="shared" si="70"/>
        <v>0</v>
      </c>
      <c r="AR154" s="309">
        <f t="shared" si="70"/>
        <v>0</v>
      </c>
      <c r="AS154" s="309">
        <f t="shared" si="70"/>
        <v>0</v>
      </c>
      <c r="AT154" s="309">
        <f t="shared" si="70"/>
        <v>0</v>
      </c>
      <c r="AU154" s="309">
        <f t="shared" si="70"/>
        <v>0</v>
      </c>
      <c r="AV154" s="309">
        <f t="shared" si="70"/>
        <v>0</v>
      </c>
      <c r="AW154" s="309">
        <f t="shared" si="70"/>
        <v>0</v>
      </c>
      <c r="AX154" s="309">
        <f t="shared" si="70"/>
        <v>0</v>
      </c>
      <c r="AY154" s="309">
        <f t="shared" si="70"/>
        <v>0</v>
      </c>
      <c r="AZ154" s="309">
        <f t="shared" si="70"/>
        <v>0</v>
      </c>
      <c r="BA154" s="309">
        <f t="shared" si="70"/>
        <v>0</v>
      </c>
      <c r="BB154" s="309">
        <f t="shared" si="70"/>
        <v>0</v>
      </c>
      <c r="BC154" s="309">
        <f t="shared" si="70"/>
        <v>0</v>
      </c>
      <c r="BD154" s="309">
        <f t="shared" si="70"/>
        <v>0</v>
      </c>
      <c r="BE154" s="309">
        <f t="shared" si="70"/>
        <v>0</v>
      </c>
      <c r="BF154" s="309">
        <f t="shared" si="70"/>
        <v>0</v>
      </c>
      <c r="BG154" s="309">
        <f t="shared" si="70"/>
        <v>0</v>
      </c>
      <c r="BH154" s="309">
        <f t="shared" si="70"/>
        <v>0</v>
      </c>
      <c r="BI154" s="309">
        <f t="shared" si="70"/>
        <v>0</v>
      </c>
      <c r="BJ154" s="309">
        <f t="shared" si="70"/>
        <v>0</v>
      </c>
      <c r="BK154" s="309">
        <f t="shared" si="70"/>
        <v>0</v>
      </c>
      <c r="BL154" s="309">
        <f t="shared" si="70"/>
        <v>0</v>
      </c>
      <c r="BM154" s="309">
        <f t="shared" si="70"/>
        <v>0</v>
      </c>
      <c r="BN154" s="309">
        <f t="shared" si="70"/>
        <v>0</v>
      </c>
      <c r="BO154" s="309">
        <f t="shared" si="70"/>
        <v>0</v>
      </c>
      <c r="BP154" s="309">
        <f t="shared" si="70"/>
        <v>0</v>
      </c>
      <c r="BQ154" s="309">
        <f t="shared" si="70"/>
        <v>0</v>
      </c>
      <c r="BR154" s="309">
        <f t="shared" si="70"/>
        <v>0</v>
      </c>
      <c r="BS154" s="309">
        <f t="shared" si="70"/>
        <v>0</v>
      </c>
      <c r="BT154" s="309">
        <f t="shared" si="70"/>
        <v>0</v>
      </c>
      <c r="BU154" s="309">
        <f t="shared" si="70"/>
        <v>0</v>
      </c>
      <c r="BV154" s="309">
        <f t="shared" si="70"/>
        <v>0</v>
      </c>
      <c r="BW154" s="309">
        <f t="shared" si="70"/>
        <v>0</v>
      </c>
      <c r="BX154" s="309">
        <f t="shared" si="70"/>
        <v>0</v>
      </c>
    </row>
    <row r="155" spans="3:76" hidden="1" outlineLevel="1">
      <c r="C155" s="308" t="s">
        <v>266</v>
      </c>
      <c r="D155" s="317"/>
      <c r="E155" s="309"/>
      <c r="F155" s="309"/>
      <c r="G155" s="309"/>
      <c r="H155" s="309"/>
      <c r="I155" s="309"/>
      <c r="J155" s="309"/>
      <c r="K155" s="309"/>
      <c r="L155" s="309"/>
      <c r="M155" s="309"/>
      <c r="N155" s="309"/>
      <c r="O155" s="309"/>
      <c r="P155" s="309"/>
      <c r="Q155" s="309"/>
      <c r="R155" s="309"/>
      <c r="S155" s="309"/>
      <c r="T155" s="309"/>
      <c r="U155" s="309"/>
      <c r="V155" s="309"/>
      <c r="W155" s="309"/>
      <c r="X155" s="309"/>
      <c r="Y155" s="309"/>
      <c r="Z155" s="309"/>
      <c r="AA155" s="309"/>
      <c r="AB155" s="309"/>
      <c r="AC155" s="309"/>
      <c r="AD155" s="309"/>
      <c r="AE155" s="309"/>
      <c r="AF155" s="309"/>
      <c r="AG155" s="309"/>
      <c r="AH155" s="309"/>
      <c r="AI155" s="309"/>
      <c r="AJ155" s="309"/>
      <c r="AK155" s="309"/>
      <c r="AL155" s="309"/>
      <c r="AM155" s="309"/>
      <c r="AN155" s="309"/>
      <c r="AO155" s="309"/>
      <c r="AP155" s="309"/>
      <c r="AQ155" s="309"/>
      <c r="AR155" s="309"/>
      <c r="AS155" s="309"/>
      <c r="AT155" s="309"/>
      <c r="AU155" s="309"/>
      <c r="AV155" s="309"/>
      <c r="AW155" s="309"/>
      <c r="AX155" s="309"/>
      <c r="AY155" s="309"/>
      <c r="AZ155" s="309"/>
      <c r="BA155" s="309"/>
      <c r="BB155" s="309"/>
      <c r="BC155" s="310"/>
      <c r="BD155" s="309"/>
      <c r="BE155" s="309"/>
      <c r="BF155" s="309"/>
      <c r="BG155" s="309"/>
      <c r="BH155" s="309"/>
      <c r="BI155" s="309"/>
      <c r="BJ155" s="309"/>
      <c r="BK155" s="309"/>
      <c r="BL155" s="309"/>
      <c r="BM155" s="309"/>
      <c r="BN155" s="309"/>
      <c r="BO155" s="309"/>
      <c r="BP155" s="309"/>
      <c r="BQ155" s="309"/>
      <c r="BR155" s="309"/>
      <c r="BS155" s="309"/>
      <c r="BT155" s="309"/>
      <c r="BU155" s="309"/>
      <c r="BV155" s="309"/>
      <c r="BW155" s="309"/>
      <c r="BX155" s="309">
        <f>IF(D90&gt;0.25,(BX84-BX93)*D156,BX84*D156)</f>
        <v>0</v>
      </c>
    </row>
    <row r="156" spans="3:76" hidden="1" outlineLevel="1">
      <c r="C156" s="311" t="s">
        <v>267</v>
      </c>
      <c r="D156" s="317">
        <v>0</v>
      </c>
      <c r="E156" s="309"/>
      <c r="F156" s="309"/>
      <c r="G156" s="309"/>
      <c r="H156" s="309"/>
      <c r="I156" s="309"/>
      <c r="J156" s="309"/>
      <c r="K156" s="309"/>
      <c r="L156" s="309"/>
      <c r="M156" s="309"/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  <c r="AH156" s="309"/>
      <c r="AI156" s="309"/>
      <c r="AJ156" s="309"/>
      <c r="AK156" s="309"/>
      <c r="AL156" s="309"/>
      <c r="AM156" s="309"/>
      <c r="AN156" s="309"/>
      <c r="AO156" s="309"/>
      <c r="AP156" s="309"/>
      <c r="AQ156" s="309"/>
      <c r="AR156" s="309"/>
      <c r="AS156" s="309"/>
      <c r="AT156" s="309"/>
      <c r="AU156" s="309"/>
      <c r="AV156" s="309"/>
      <c r="AW156" s="309"/>
      <c r="AX156" s="309"/>
      <c r="AY156" s="309"/>
      <c r="AZ156" s="309"/>
      <c r="BA156" s="309"/>
      <c r="BB156" s="309"/>
      <c r="BC156" s="310"/>
      <c r="BD156" s="309"/>
      <c r="BE156" s="309"/>
      <c r="BF156" s="309"/>
      <c r="BG156" s="309"/>
      <c r="BH156" s="309"/>
      <c r="BI156" s="309"/>
      <c r="BJ156" s="309"/>
      <c r="BK156" s="309"/>
      <c r="BL156" s="309"/>
      <c r="BM156" s="309"/>
      <c r="BN156" s="309"/>
      <c r="BO156" s="309"/>
      <c r="BP156" s="309"/>
      <c r="BQ156" s="309"/>
      <c r="BR156" s="309"/>
      <c r="BS156" s="309"/>
      <c r="BT156" s="309"/>
      <c r="BU156" s="309"/>
      <c r="BV156" s="309"/>
      <c r="BW156" s="309"/>
      <c r="BX156" s="309"/>
    </row>
    <row r="157" spans="3:76" hidden="1" outlineLevel="1">
      <c r="C157" s="308" t="s">
        <v>268</v>
      </c>
      <c r="D157" s="309"/>
      <c r="E157" s="319">
        <f t="shared" ref="E157:BX157" si="71">E152+E153+E154+E155+E156</f>
        <v>0</v>
      </c>
      <c r="F157" s="319">
        <f t="shared" si="71"/>
        <v>0</v>
      </c>
      <c r="G157" s="319">
        <f t="shared" si="71"/>
        <v>0</v>
      </c>
      <c r="H157" s="319">
        <f t="shared" si="71"/>
        <v>0</v>
      </c>
      <c r="I157" s="319">
        <f t="shared" si="71"/>
        <v>0</v>
      </c>
      <c r="J157" s="319">
        <f t="shared" si="71"/>
        <v>0</v>
      </c>
      <c r="K157" s="319">
        <f t="shared" si="71"/>
        <v>0</v>
      </c>
      <c r="L157" s="319">
        <f t="shared" si="71"/>
        <v>0</v>
      </c>
      <c r="M157" s="319">
        <f t="shared" si="71"/>
        <v>0</v>
      </c>
      <c r="N157" s="319">
        <f t="shared" si="71"/>
        <v>0</v>
      </c>
      <c r="O157" s="319">
        <f t="shared" si="71"/>
        <v>0</v>
      </c>
      <c r="P157" s="319">
        <f t="shared" si="71"/>
        <v>0</v>
      </c>
      <c r="Q157" s="319">
        <f t="shared" si="71"/>
        <v>0</v>
      </c>
      <c r="R157" s="319">
        <f t="shared" si="71"/>
        <v>0</v>
      </c>
      <c r="S157" s="319">
        <f t="shared" si="71"/>
        <v>0</v>
      </c>
      <c r="T157" s="319">
        <f t="shared" si="71"/>
        <v>0</v>
      </c>
      <c r="U157" s="319">
        <f t="shared" si="71"/>
        <v>0</v>
      </c>
      <c r="V157" s="319">
        <f t="shared" si="71"/>
        <v>0</v>
      </c>
      <c r="W157" s="319">
        <f t="shared" si="71"/>
        <v>0</v>
      </c>
      <c r="X157" s="319">
        <f t="shared" si="71"/>
        <v>0</v>
      </c>
      <c r="Y157" s="319">
        <f t="shared" si="71"/>
        <v>0</v>
      </c>
      <c r="Z157" s="319">
        <f t="shared" si="71"/>
        <v>0</v>
      </c>
      <c r="AA157" s="319">
        <f t="shared" si="71"/>
        <v>0</v>
      </c>
      <c r="AB157" s="319">
        <f t="shared" si="71"/>
        <v>0</v>
      </c>
      <c r="AC157" s="319">
        <f t="shared" si="71"/>
        <v>0</v>
      </c>
      <c r="AD157" s="319">
        <f t="shared" si="71"/>
        <v>0</v>
      </c>
      <c r="AE157" s="319">
        <f t="shared" si="71"/>
        <v>0</v>
      </c>
      <c r="AF157" s="319">
        <f t="shared" si="71"/>
        <v>0</v>
      </c>
      <c r="AG157" s="319">
        <f t="shared" si="71"/>
        <v>0</v>
      </c>
      <c r="AH157" s="319">
        <f t="shared" si="71"/>
        <v>0</v>
      </c>
      <c r="AI157" s="319">
        <f t="shared" si="71"/>
        <v>0</v>
      </c>
      <c r="AJ157" s="319">
        <f t="shared" si="71"/>
        <v>0</v>
      </c>
      <c r="AK157" s="319">
        <f t="shared" si="71"/>
        <v>0</v>
      </c>
      <c r="AL157" s="319">
        <f t="shared" si="71"/>
        <v>0</v>
      </c>
      <c r="AM157" s="319">
        <f t="shared" si="71"/>
        <v>0</v>
      </c>
      <c r="AN157" s="319">
        <f t="shared" si="71"/>
        <v>0</v>
      </c>
      <c r="AO157" s="319">
        <f t="shared" si="71"/>
        <v>0</v>
      </c>
      <c r="AP157" s="319">
        <f t="shared" si="71"/>
        <v>0</v>
      </c>
      <c r="AQ157" s="319">
        <f t="shared" si="71"/>
        <v>0</v>
      </c>
      <c r="AR157" s="319">
        <f t="shared" si="71"/>
        <v>0</v>
      </c>
      <c r="AS157" s="319">
        <f t="shared" si="71"/>
        <v>0</v>
      </c>
      <c r="AT157" s="319">
        <f t="shared" si="71"/>
        <v>0</v>
      </c>
      <c r="AU157" s="319">
        <f t="shared" si="71"/>
        <v>0</v>
      </c>
      <c r="AV157" s="319">
        <f t="shared" si="71"/>
        <v>0</v>
      </c>
      <c r="AW157" s="319">
        <f t="shared" si="71"/>
        <v>0</v>
      </c>
      <c r="AX157" s="319">
        <f t="shared" si="71"/>
        <v>0</v>
      </c>
      <c r="AY157" s="319">
        <f t="shared" si="71"/>
        <v>0</v>
      </c>
      <c r="AZ157" s="319">
        <f t="shared" si="71"/>
        <v>0</v>
      </c>
      <c r="BA157" s="319">
        <f t="shared" si="71"/>
        <v>0</v>
      </c>
      <c r="BB157" s="319">
        <f t="shared" si="71"/>
        <v>0</v>
      </c>
      <c r="BC157" s="319">
        <f t="shared" si="71"/>
        <v>0</v>
      </c>
      <c r="BD157" s="319">
        <f t="shared" si="71"/>
        <v>0</v>
      </c>
      <c r="BE157" s="319">
        <f t="shared" si="71"/>
        <v>0</v>
      </c>
      <c r="BF157" s="319">
        <f t="shared" si="71"/>
        <v>0</v>
      </c>
      <c r="BG157" s="319">
        <f t="shared" si="71"/>
        <v>0</v>
      </c>
      <c r="BH157" s="319">
        <f t="shared" si="71"/>
        <v>0</v>
      </c>
      <c r="BI157" s="319">
        <f t="shared" si="71"/>
        <v>0</v>
      </c>
      <c r="BJ157" s="319">
        <f t="shared" si="71"/>
        <v>0</v>
      </c>
      <c r="BK157" s="319">
        <f t="shared" si="71"/>
        <v>0</v>
      </c>
      <c r="BL157" s="319">
        <f t="shared" si="71"/>
        <v>0</v>
      </c>
      <c r="BM157" s="319">
        <f t="shared" si="71"/>
        <v>0</v>
      </c>
      <c r="BN157" s="319">
        <f t="shared" si="71"/>
        <v>0</v>
      </c>
      <c r="BO157" s="319">
        <f t="shared" si="71"/>
        <v>0</v>
      </c>
      <c r="BP157" s="319">
        <f t="shared" si="71"/>
        <v>0</v>
      </c>
      <c r="BQ157" s="319">
        <f t="shared" si="71"/>
        <v>0</v>
      </c>
      <c r="BR157" s="319">
        <f t="shared" si="71"/>
        <v>0</v>
      </c>
      <c r="BS157" s="319">
        <f t="shared" si="71"/>
        <v>0</v>
      </c>
      <c r="BT157" s="319">
        <f t="shared" si="71"/>
        <v>0</v>
      </c>
      <c r="BU157" s="319">
        <f t="shared" si="71"/>
        <v>0</v>
      </c>
      <c r="BV157" s="319">
        <f t="shared" si="71"/>
        <v>0</v>
      </c>
      <c r="BW157" s="319">
        <f t="shared" si="71"/>
        <v>0</v>
      </c>
      <c r="BX157" s="319">
        <f t="shared" si="71"/>
        <v>0</v>
      </c>
    </row>
    <row r="158" spans="3:76" hidden="1" outlineLevel="1">
      <c r="C158" s="312"/>
      <c r="D158" s="322" t="s">
        <v>275</v>
      </c>
      <c r="E158" s="321">
        <f>E157</f>
        <v>0</v>
      </c>
      <c r="F158" s="321">
        <f t="shared" ref="F158:BX158" si="72">E158+F157</f>
        <v>0</v>
      </c>
      <c r="G158" s="321">
        <f t="shared" si="72"/>
        <v>0</v>
      </c>
      <c r="H158" s="321">
        <f t="shared" si="72"/>
        <v>0</v>
      </c>
      <c r="I158" s="321">
        <f t="shared" si="72"/>
        <v>0</v>
      </c>
      <c r="J158" s="321">
        <f t="shared" si="72"/>
        <v>0</v>
      </c>
      <c r="K158" s="321">
        <f t="shared" si="72"/>
        <v>0</v>
      </c>
      <c r="L158" s="321">
        <f t="shared" si="72"/>
        <v>0</v>
      </c>
      <c r="M158" s="321">
        <f t="shared" si="72"/>
        <v>0</v>
      </c>
      <c r="N158" s="321">
        <f t="shared" si="72"/>
        <v>0</v>
      </c>
      <c r="O158" s="321">
        <f t="shared" si="72"/>
        <v>0</v>
      </c>
      <c r="P158" s="321">
        <f t="shared" si="72"/>
        <v>0</v>
      </c>
      <c r="Q158" s="321">
        <f t="shared" si="72"/>
        <v>0</v>
      </c>
      <c r="R158" s="321">
        <f t="shared" si="72"/>
        <v>0</v>
      </c>
      <c r="S158" s="321">
        <f t="shared" si="72"/>
        <v>0</v>
      </c>
      <c r="T158" s="321">
        <f t="shared" si="72"/>
        <v>0</v>
      </c>
      <c r="U158" s="321">
        <f t="shared" si="72"/>
        <v>0</v>
      </c>
      <c r="V158" s="327">
        <f t="shared" si="72"/>
        <v>0</v>
      </c>
      <c r="W158" s="327">
        <f t="shared" si="72"/>
        <v>0</v>
      </c>
      <c r="X158" s="327">
        <f t="shared" si="72"/>
        <v>0</v>
      </c>
      <c r="Y158" s="327">
        <f t="shared" si="72"/>
        <v>0</v>
      </c>
      <c r="Z158" s="327">
        <f t="shared" si="72"/>
        <v>0</v>
      </c>
      <c r="AA158" s="327">
        <f t="shared" si="72"/>
        <v>0</v>
      </c>
      <c r="AB158" s="327">
        <f t="shared" si="72"/>
        <v>0</v>
      </c>
      <c r="AC158" s="327">
        <f t="shared" si="72"/>
        <v>0</v>
      </c>
      <c r="AD158" s="327">
        <f t="shared" si="72"/>
        <v>0</v>
      </c>
      <c r="AE158" s="327">
        <f t="shared" si="72"/>
        <v>0</v>
      </c>
      <c r="AF158" s="327">
        <f t="shared" si="72"/>
        <v>0</v>
      </c>
      <c r="AG158" s="327">
        <f t="shared" si="72"/>
        <v>0</v>
      </c>
      <c r="AH158" s="327">
        <f t="shared" si="72"/>
        <v>0</v>
      </c>
      <c r="AI158" s="327">
        <f t="shared" si="72"/>
        <v>0</v>
      </c>
      <c r="AJ158" s="327">
        <f t="shared" si="72"/>
        <v>0</v>
      </c>
      <c r="AK158" s="327">
        <f t="shared" si="72"/>
        <v>0</v>
      </c>
      <c r="AL158" s="327">
        <f t="shared" si="72"/>
        <v>0</v>
      </c>
      <c r="AM158" s="327">
        <f t="shared" si="72"/>
        <v>0</v>
      </c>
      <c r="AN158" s="327">
        <f t="shared" si="72"/>
        <v>0</v>
      </c>
      <c r="AO158" s="327">
        <f t="shared" si="72"/>
        <v>0</v>
      </c>
      <c r="AP158" s="327">
        <f t="shared" si="72"/>
        <v>0</v>
      </c>
      <c r="AQ158" s="327">
        <f t="shared" si="72"/>
        <v>0</v>
      </c>
      <c r="AR158" s="327">
        <f t="shared" si="72"/>
        <v>0</v>
      </c>
      <c r="AS158" s="327">
        <f t="shared" si="72"/>
        <v>0</v>
      </c>
      <c r="AT158" s="327">
        <f t="shared" si="72"/>
        <v>0</v>
      </c>
      <c r="AU158" s="327">
        <f t="shared" si="72"/>
        <v>0</v>
      </c>
      <c r="AV158" s="327">
        <f t="shared" si="72"/>
        <v>0</v>
      </c>
      <c r="AW158" s="327">
        <f t="shared" si="72"/>
        <v>0</v>
      </c>
      <c r="AX158" s="327">
        <f t="shared" si="72"/>
        <v>0</v>
      </c>
      <c r="AY158" s="327">
        <f t="shared" si="72"/>
        <v>0</v>
      </c>
      <c r="AZ158" s="327">
        <f t="shared" si="72"/>
        <v>0</v>
      </c>
      <c r="BA158" s="327">
        <f t="shared" si="72"/>
        <v>0</v>
      </c>
      <c r="BB158" s="327">
        <f t="shared" si="72"/>
        <v>0</v>
      </c>
      <c r="BC158" s="321">
        <f t="shared" si="72"/>
        <v>0</v>
      </c>
      <c r="BD158" s="321">
        <f t="shared" si="72"/>
        <v>0</v>
      </c>
      <c r="BE158" s="321">
        <f t="shared" si="72"/>
        <v>0</v>
      </c>
      <c r="BF158" s="321">
        <f t="shared" si="72"/>
        <v>0</v>
      </c>
      <c r="BG158" s="321">
        <f t="shared" si="72"/>
        <v>0</v>
      </c>
      <c r="BH158" s="321">
        <f t="shared" si="72"/>
        <v>0</v>
      </c>
      <c r="BI158" s="321">
        <f t="shared" si="72"/>
        <v>0</v>
      </c>
      <c r="BJ158" s="321">
        <f t="shared" si="72"/>
        <v>0</v>
      </c>
      <c r="BK158" s="321">
        <f t="shared" si="72"/>
        <v>0</v>
      </c>
      <c r="BL158" s="321">
        <f t="shared" si="72"/>
        <v>0</v>
      </c>
      <c r="BM158" s="321">
        <f t="shared" si="72"/>
        <v>0</v>
      </c>
      <c r="BN158" s="321">
        <f t="shared" si="72"/>
        <v>0</v>
      </c>
      <c r="BO158" s="321">
        <f t="shared" si="72"/>
        <v>0</v>
      </c>
      <c r="BP158" s="321">
        <f t="shared" si="72"/>
        <v>0</v>
      </c>
      <c r="BQ158" s="321">
        <f t="shared" si="72"/>
        <v>0</v>
      </c>
      <c r="BR158" s="321">
        <f t="shared" si="72"/>
        <v>0</v>
      </c>
      <c r="BS158" s="321">
        <f t="shared" si="72"/>
        <v>0</v>
      </c>
      <c r="BT158" s="321">
        <f t="shared" si="72"/>
        <v>0</v>
      </c>
      <c r="BU158" s="321">
        <f t="shared" si="72"/>
        <v>0</v>
      </c>
      <c r="BV158" s="321">
        <f t="shared" si="72"/>
        <v>0</v>
      </c>
      <c r="BW158" s="321">
        <f t="shared" si="72"/>
        <v>0</v>
      </c>
      <c r="BX158" s="321">
        <f t="shared" si="72"/>
        <v>0</v>
      </c>
    </row>
    <row r="159" spans="3:76" hidden="1" outlineLevel="1">
      <c r="C159" s="311" t="s">
        <v>261</v>
      </c>
      <c r="D159" s="322" t="e">
        <f>IRR(E157:BX157)*12</f>
        <v>#NUM!</v>
      </c>
      <c r="E159" s="229"/>
      <c r="F159" s="229"/>
      <c r="G159" s="229"/>
      <c r="H159" s="229"/>
      <c r="I159" s="229"/>
      <c r="J159" s="229"/>
      <c r="K159" s="229"/>
      <c r="L159" s="229"/>
      <c r="M159" s="229"/>
      <c r="N159" s="229"/>
      <c r="O159" s="229"/>
      <c r="P159" s="229"/>
      <c r="Q159" s="229"/>
      <c r="R159" s="229"/>
      <c r="S159" s="229"/>
      <c r="T159" s="229"/>
      <c r="U159" s="229"/>
      <c r="V159" s="229"/>
      <c r="W159" s="229"/>
      <c r="X159" s="229"/>
      <c r="Y159" s="229"/>
      <c r="Z159" s="229"/>
      <c r="AA159" s="229"/>
      <c r="AB159" s="229"/>
      <c r="AC159" s="229"/>
      <c r="AD159" s="229"/>
      <c r="AE159" s="229"/>
      <c r="AF159" s="229"/>
      <c r="AG159" s="229"/>
      <c r="AH159" s="229"/>
      <c r="AI159" s="229"/>
      <c r="AJ159" s="229"/>
      <c r="AK159" s="229"/>
      <c r="AL159" s="229"/>
      <c r="AM159" s="229"/>
      <c r="AN159" s="229"/>
      <c r="AO159" s="229"/>
      <c r="AP159" s="229"/>
      <c r="AQ159" s="229"/>
      <c r="AR159" s="229"/>
      <c r="AS159" s="229"/>
      <c r="AT159" s="229"/>
      <c r="AU159" s="229"/>
      <c r="AV159" s="229"/>
      <c r="AW159" s="229"/>
      <c r="AX159" s="229"/>
      <c r="AY159" s="229"/>
      <c r="AZ159" s="229"/>
      <c r="BA159" s="229"/>
      <c r="BB159" s="229"/>
      <c r="BC159" s="229"/>
      <c r="BD159" s="229"/>
      <c r="BE159" s="229"/>
      <c r="BF159" s="229"/>
      <c r="BG159" s="229"/>
      <c r="BH159" s="229"/>
      <c r="BI159" s="229"/>
      <c r="BJ159" s="229"/>
      <c r="BK159" s="229"/>
      <c r="BL159" s="229"/>
      <c r="BM159" s="229"/>
      <c r="BN159" s="229"/>
      <c r="BO159" s="229"/>
      <c r="BP159" s="229"/>
      <c r="BQ159" s="229"/>
      <c r="BR159" s="229"/>
      <c r="BS159" s="229"/>
      <c r="BT159" s="229"/>
      <c r="BU159" s="229"/>
      <c r="BV159" s="229"/>
      <c r="BW159" s="229"/>
      <c r="BX159" s="229"/>
    </row>
    <row r="160" spans="3:76" hidden="1" outlineLevel="1">
      <c r="C160" s="323" t="s">
        <v>269</v>
      </c>
      <c r="D160" s="324">
        <f>-MIN(M158:BL158)-D161</f>
        <v>0</v>
      </c>
      <c r="E160" s="229"/>
      <c r="F160" s="229"/>
      <c r="G160" s="229"/>
      <c r="H160" s="229"/>
      <c r="I160" s="229"/>
      <c r="J160" s="229"/>
      <c r="K160" s="229"/>
      <c r="L160" s="229"/>
      <c r="M160" s="229"/>
      <c r="N160" s="229"/>
      <c r="O160" s="229"/>
      <c r="P160" s="229"/>
      <c r="Q160" s="229"/>
      <c r="R160" s="229"/>
      <c r="S160" s="229"/>
      <c r="T160" s="229"/>
      <c r="U160" s="229"/>
      <c r="V160" s="229"/>
      <c r="W160" s="229"/>
      <c r="X160" s="229"/>
      <c r="Y160" s="229"/>
      <c r="Z160" s="229"/>
      <c r="AA160" s="229"/>
      <c r="AB160" s="229"/>
      <c r="AC160" s="229"/>
      <c r="AD160" s="229"/>
      <c r="AE160" s="229"/>
      <c r="AF160" s="229"/>
      <c r="AG160" s="229"/>
      <c r="AH160" s="229"/>
      <c r="AI160" s="229"/>
      <c r="AJ160" s="229"/>
      <c r="AK160" s="229"/>
      <c r="AL160" s="229"/>
      <c r="AM160" s="229"/>
      <c r="AN160" s="229"/>
      <c r="AO160" s="229"/>
      <c r="AP160" s="229"/>
      <c r="AQ160" s="229"/>
      <c r="AR160" s="229"/>
      <c r="AS160" s="229"/>
      <c r="AT160" s="229"/>
      <c r="AU160" s="229"/>
      <c r="AV160" s="229"/>
      <c r="AW160" s="229"/>
      <c r="AX160" s="229"/>
      <c r="AY160" s="229"/>
      <c r="AZ160" s="229"/>
      <c r="BA160" s="229"/>
      <c r="BB160" s="229"/>
      <c r="BC160" s="229"/>
      <c r="BD160" s="229"/>
      <c r="BE160" s="229"/>
      <c r="BF160" s="229"/>
      <c r="BG160" s="229"/>
      <c r="BH160" s="229"/>
      <c r="BI160" s="229"/>
      <c r="BJ160" s="229"/>
      <c r="BK160" s="229"/>
      <c r="BL160" s="229"/>
      <c r="BM160" s="229"/>
      <c r="BN160" s="229"/>
      <c r="BO160" s="229"/>
      <c r="BP160" s="229"/>
      <c r="BQ160" s="229"/>
      <c r="BR160" s="229"/>
      <c r="BS160" s="229"/>
      <c r="BT160" s="229"/>
      <c r="BU160" s="229"/>
      <c r="BV160" s="229"/>
      <c r="BW160" s="229"/>
      <c r="BX160" s="229"/>
    </row>
    <row r="161" spans="3:76" hidden="1" outlineLevel="1">
      <c r="C161" s="323" t="s">
        <v>276</v>
      </c>
      <c r="D161" s="324">
        <f>-SUM(M156:BB156)</f>
        <v>0</v>
      </c>
      <c r="E161" s="229"/>
      <c r="F161" s="229"/>
      <c r="G161" s="229"/>
      <c r="H161" s="229"/>
      <c r="I161" s="229"/>
      <c r="J161" s="229"/>
      <c r="K161" s="229"/>
      <c r="L161" s="229"/>
      <c r="M161" s="229"/>
      <c r="N161" s="229"/>
      <c r="O161" s="229"/>
      <c r="P161" s="229"/>
      <c r="Q161" s="229"/>
      <c r="R161" s="229"/>
      <c r="S161" s="229"/>
      <c r="T161" s="229"/>
      <c r="U161" s="229"/>
      <c r="V161" s="229"/>
      <c r="W161" s="229"/>
      <c r="X161" s="229"/>
      <c r="Y161" s="229"/>
      <c r="Z161" s="229"/>
      <c r="AA161" s="229"/>
      <c r="AB161" s="229"/>
      <c r="AC161" s="229"/>
      <c r="AD161" s="229"/>
      <c r="AE161" s="229"/>
      <c r="AF161" s="229"/>
      <c r="AG161" s="229"/>
      <c r="AH161" s="229"/>
      <c r="AI161" s="229"/>
      <c r="AJ161" s="229"/>
      <c r="AK161" s="229"/>
      <c r="AL161" s="229"/>
      <c r="AM161" s="229"/>
      <c r="AN161" s="229"/>
      <c r="AO161" s="229"/>
      <c r="AP161" s="229"/>
      <c r="AQ161" s="229"/>
      <c r="AR161" s="229"/>
      <c r="AS161" s="229"/>
      <c r="AT161" s="229"/>
      <c r="AU161" s="229"/>
      <c r="AV161" s="229"/>
      <c r="AW161" s="229"/>
      <c r="AX161" s="229"/>
      <c r="AY161" s="229"/>
      <c r="AZ161" s="229"/>
      <c r="BA161" s="229"/>
      <c r="BB161" s="229"/>
      <c r="BC161" s="229"/>
      <c r="BD161" s="229"/>
      <c r="BE161" s="229"/>
      <c r="BF161" s="229"/>
      <c r="BG161" s="229"/>
      <c r="BH161" s="229"/>
      <c r="BI161" s="229"/>
      <c r="BJ161" s="229"/>
      <c r="BK161" s="229"/>
      <c r="BL161" s="229"/>
      <c r="BM161" s="229"/>
      <c r="BN161" s="229"/>
      <c r="BO161" s="229"/>
      <c r="BP161" s="229"/>
      <c r="BQ161" s="229"/>
      <c r="BR161" s="229"/>
      <c r="BS161" s="229"/>
      <c r="BT161" s="229"/>
      <c r="BU161" s="229"/>
      <c r="BV161" s="229"/>
      <c r="BW161" s="229"/>
      <c r="BX161" s="229"/>
    </row>
    <row r="162" spans="3:76" hidden="1" outlineLevel="1">
      <c r="C162" s="311" t="s">
        <v>270</v>
      </c>
      <c r="D162" s="325">
        <f>D161+D160</f>
        <v>0</v>
      </c>
      <c r="E162" s="229"/>
      <c r="F162" s="229"/>
      <c r="G162" s="229"/>
      <c r="H162" s="229"/>
      <c r="I162" s="229"/>
      <c r="J162" s="229"/>
      <c r="K162" s="229"/>
      <c r="L162" s="229"/>
      <c r="M162" s="229"/>
      <c r="N162" s="229"/>
      <c r="O162" s="229"/>
      <c r="P162" s="229"/>
      <c r="Q162" s="229"/>
      <c r="R162" s="229"/>
      <c r="S162" s="229"/>
      <c r="T162" s="229"/>
      <c r="U162" s="229"/>
      <c r="V162" s="229"/>
      <c r="W162" s="229"/>
      <c r="X162" s="229"/>
      <c r="Y162" s="229"/>
      <c r="Z162" s="229"/>
      <c r="AA162" s="229"/>
      <c r="AB162" s="229"/>
      <c r="AC162" s="229"/>
      <c r="AD162" s="229"/>
      <c r="AE162" s="229"/>
      <c r="AF162" s="229"/>
      <c r="AG162" s="229"/>
      <c r="AH162" s="229"/>
      <c r="AI162" s="229"/>
      <c r="AJ162" s="229"/>
      <c r="AK162" s="229"/>
      <c r="AL162" s="229"/>
      <c r="AM162" s="229"/>
      <c r="AN162" s="229"/>
      <c r="AO162" s="229"/>
      <c r="AP162" s="229"/>
      <c r="AQ162" s="229"/>
      <c r="AR162" s="229"/>
      <c r="AS162" s="229"/>
      <c r="AT162" s="229"/>
      <c r="AU162" s="229"/>
      <c r="AV162" s="229"/>
      <c r="AW162" s="229"/>
      <c r="AX162" s="229"/>
      <c r="AY162" s="229"/>
      <c r="AZ162" s="229"/>
      <c r="BA162" s="229"/>
      <c r="BB162" s="229"/>
      <c r="BC162" s="229"/>
      <c r="BD162" s="229"/>
      <c r="BE162" s="229"/>
      <c r="BF162" s="229"/>
      <c r="BG162" s="229"/>
      <c r="BH162" s="229"/>
      <c r="BI162" s="229"/>
      <c r="BJ162" s="229"/>
      <c r="BK162" s="229"/>
      <c r="BL162" s="229"/>
      <c r="BM162" s="229"/>
      <c r="BN162" s="229"/>
      <c r="BO162" s="229"/>
      <c r="BP162" s="229"/>
      <c r="BQ162" s="229"/>
      <c r="BR162" s="229"/>
      <c r="BS162" s="229"/>
      <c r="BT162" s="229"/>
      <c r="BU162" s="229"/>
      <c r="BV162" s="229"/>
      <c r="BW162" s="229"/>
      <c r="BX162" s="229"/>
    </row>
    <row r="163" spans="3:76" hidden="1" outlineLevel="1">
      <c r="C163" s="311" t="s">
        <v>271</v>
      </c>
      <c r="D163" s="325">
        <f>BX154+BX155</f>
        <v>0</v>
      </c>
      <c r="E163" s="229"/>
      <c r="F163" s="229"/>
      <c r="G163" s="229"/>
      <c r="H163" s="229"/>
      <c r="I163" s="229"/>
      <c r="J163" s="229"/>
      <c r="K163" s="229"/>
      <c r="L163" s="229"/>
      <c r="M163" s="229"/>
      <c r="N163" s="229"/>
      <c r="O163" s="229"/>
      <c r="P163" s="229"/>
      <c r="Q163" s="229"/>
      <c r="R163" s="229"/>
      <c r="S163" s="229"/>
      <c r="T163" s="229"/>
      <c r="U163" s="229"/>
      <c r="V163" s="229"/>
      <c r="W163" s="229"/>
      <c r="X163" s="229"/>
      <c r="Y163" s="229"/>
      <c r="Z163" s="229"/>
      <c r="AA163" s="229"/>
      <c r="AB163" s="229"/>
      <c r="AC163" s="229"/>
      <c r="AD163" s="229"/>
      <c r="AE163" s="229"/>
      <c r="AF163" s="229"/>
      <c r="AG163" s="229"/>
      <c r="AH163" s="229"/>
      <c r="AI163" s="229"/>
      <c r="AJ163" s="229"/>
      <c r="AK163" s="229"/>
      <c r="AL163" s="229"/>
      <c r="AM163" s="229"/>
      <c r="AN163" s="229"/>
      <c r="AO163" s="229"/>
      <c r="AP163" s="229"/>
      <c r="AQ163" s="229"/>
      <c r="AR163" s="229"/>
      <c r="AS163" s="229"/>
      <c r="AT163" s="229"/>
      <c r="AU163" s="229"/>
      <c r="AV163" s="229"/>
      <c r="AW163" s="229"/>
      <c r="AX163" s="229"/>
      <c r="AY163" s="229"/>
      <c r="AZ163" s="229"/>
      <c r="BA163" s="229"/>
      <c r="BB163" s="229"/>
      <c r="BC163" s="229"/>
      <c r="BD163" s="229"/>
      <c r="BE163" s="229"/>
      <c r="BF163" s="229"/>
      <c r="BG163" s="229"/>
      <c r="BH163" s="229"/>
      <c r="BI163" s="229"/>
      <c r="BJ163" s="229"/>
      <c r="BK163" s="229"/>
      <c r="BL163" s="229"/>
      <c r="BM163" s="229"/>
      <c r="BN163" s="229"/>
      <c r="BO163" s="229"/>
      <c r="BP163" s="229"/>
      <c r="BQ163" s="229"/>
      <c r="BR163" s="229"/>
      <c r="BS163" s="229"/>
      <c r="BT163" s="229"/>
      <c r="BU163" s="229"/>
      <c r="BV163" s="229"/>
      <c r="BW163" s="229"/>
      <c r="BX163" s="229"/>
    </row>
    <row r="164" spans="3:76" hidden="1" outlineLevel="1">
      <c r="C164" s="311" t="s">
        <v>272</v>
      </c>
      <c r="D164" s="322" t="e">
        <f>(D163-D161)/D162</f>
        <v>#DIV/0!</v>
      </c>
      <c r="E164" s="229"/>
      <c r="F164" s="229"/>
      <c r="G164" s="229"/>
      <c r="H164" s="229"/>
      <c r="I164" s="229"/>
      <c r="J164" s="229"/>
      <c r="K164" s="229"/>
      <c r="L164" s="229"/>
      <c r="M164" s="229"/>
      <c r="N164" s="229"/>
      <c r="O164" s="229"/>
      <c r="P164" s="229"/>
      <c r="Q164" s="229"/>
      <c r="R164" s="229"/>
      <c r="S164" s="229"/>
      <c r="T164" s="229"/>
      <c r="U164" s="229"/>
      <c r="V164" s="229"/>
      <c r="W164" s="229"/>
      <c r="X164" s="229"/>
      <c r="Y164" s="229"/>
      <c r="Z164" s="229"/>
      <c r="AA164" s="229"/>
      <c r="AB164" s="229"/>
      <c r="AC164" s="229"/>
      <c r="AD164" s="229"/>
      <c r="AE164" s="229"/>
      <c r="AF164" s="229"/>
      <c r="AG164" s="229"/>
      <c r="AH164" s="229"/>
      <c r="AI164" s="229"/>
      <c r="AJ164" s="229"/>
      <c r="AK164" s="229"/>
      <c r="AL164" s="229"/>
      <c r="AM164" s="229"/>
      <c r="AN164" s="229"/>
      <c r="AO164" s="229"/>
      <c r="AP164" s="229"/>
      <c r="AQ164" s="229"/>
      <c r="AR164" s="229"/>
      <c r="AS164" s="229"/>
      <c r="AT164" s="229"/>
      <c r="AU164" s="229"/>
      <c r="AV164" s="229"/>
      <c r="AW164" s="229"/>
      <c r="AX164" s="229"/>
      <c r="AY164" s="229"/>
      <c r="AZ164" s="229"/>
      <c r="BA164" s="229"/>
      <c r="BB164" s="229"/>
      <c r="BC164" s="229"/>
      <c r="BD164" s="229"/>
      <c r="BE164" s="229"/>
      <c r="BF164" s="229"/>
      <c r="BG164" s="229"/>
      <c r="BH164" s="229"/>
      <c r="BI164" s="229"/>
      <c r="BJ164" s="229"/>
      <c r="BK164" s="229"/>
      <c r="BL164" s="229"/>
      <c r="BM164" s="229"/>
      <c r="BN164" s="229"/>
      <c r="BO164" s="229"/>
      <c r="BP164" s="229"/>
      <c r="BQ164" s="229"/>
      <c r="BR164" s="229"/>
      <c r="BS164" s="229"/>
      <c r="BT164" s="229"/>
      <c r="BU164" s="229"/>
      <c r="BV164" s="229"/>
      <c r="BW164" s="229"/>
      <c r="BX164" s="229"/>
    </row>
  </sheetData>
  <mergeCells count="34">
    <mergeCell ref="B18:B80"/>
    <mergeCell ref="B81:C81"/>
    <mergeCell ref="B2:C4"/>
    <mergeCell ref="B5:B8"/>
    <mergeCell ref="B9:B11"/>
    <mergeCell ref="B12:B16"/>
    <mergeCell ref="B17:C17"/>
    <mergeCell ref="B82:C82"/>
    <mergeCell ref="B83:C83"/>
    <mergeCell ref="B84:C84"/>
    <mergeCell ref="D90:E90"/>
    <mergeCell ref="D93:BW93"/>
    <mergeCell ref="BY73:BZ73"/>
    <mergeCell ref="BZ74:BZ80"/>
    <mergeCell ref="BY81:BZ81"/>
    <mergeCell ref="BY82:BZ82"/>
    <mergeCell ref="BY83:BZ83"/>
    <mergeCell ref="BM2:BX2"/>
    <mergeCell ref="BY2:BZ4"/>
    <mergeCell ref="BZ12:BZ16"/>
    <mergeCell ref="BZ18:BZ72"/>
    <mergeCell ref="CE18:CE72"/>
    <mergeCell ref="BZ5:BZ8"/>
    <mergeCell ref="CE5:CE8"/>
    <mergeCell ref="BZ9:BZ11"/>
    <mergeCell ref="CE9:CE11"/>
    <mergeCell ref="CE12:CE16"/>
    <mergeCell ref="BY17:BZ17"/>
    <mergeCell ref="CD17:CE17"/>
    <mergeCell ref="E2:P2"/>
    <mergeCell ref="Q2:AB2"/>
    <mergeCell ref="AC2:AN2"/>
    <mergeCell ref="AO2:AZ2"/>
    <mergeCell ref="BA2:BL2"/>
  </mergeCells>
  <conditionalFormatting sqref="E18:BX18 E24:BX24 E27:BX27 E35:BX35 E38:BX38 E48:BX48 E54:BX54 E62:BX62 E70:BX70 E73:BX73">
    <cfRule type="cellIs" dxfId="9" priority="1" operator="equal">
      <formula>0</formula>
    </cfRule>
  </conditionalFormatting>
  <conditionalFormatting sqref="F98:BS101 E99 BT99:BX99 E101 BT101:BX101 E113 F113:BX116 E115 E135 M135:BX135 F135:L138 E137 M137:BX137 E154:BX154">
    <cfRule type="cellIs" dxfId="8" priority="2" operator="equal">
      <formula>0</formula>
    </cfRule>
  </conditionalFormatting>
  <dataValidations count="1">
    <dataValidation type="list" allowBlank="1" showErrorMessage="1" sqref="CD4" xr:uid="{00000000-0002-0000-0900-000000000000}">
      <formula1>$D$3:$BX$3</formula1>
    </dataValidation>
  </dataValidations>
  <pageMargins left="0" right="0" top="0" bottom="0" header="0" footer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2:T79"/>
  <sheetViews>
    <sheetView workbookViewId="0"/>
  </sheetViews>
  <sheetFormatPr defaultColWidth="12.625" defaultRowHeight="15" customHeight="1"/>
  <sheetData>
    <row r="2" spans="2:20" ht="14.1">
      <c r="B2" s="548" t="s">
        <v>279</v>
      </c>
      <c r="C2" s="559"/>
      <c r="D2" s="559"/>
      <c r="E2" s="559"/>
      <c r="G2" s="548" t="s">
        <v>280</v>
      </c>
      <c r="H2" s="559"/>
      <c r="I2" s="559"/>
      <c r="J2" s="559"/>
      <c r="L2" s="548" t="s">
        <v>281</v>
      </c>
      <c r="M2" s="559"/>
      <c r="N2" s="559"/>
      <c r="O2" s="559"/>
      <c r="Q2" s="548" t="s">
        <v>282</v>
      </c>
      <c r="R2" s="559"/>
      <c r="S2" s="559"/>
      <c r="T2" s="559"/>
    </row>
    <row r="3" spans="2:20" ht="15" customHeight="1">
      <c r="B3" s="559"/>
      <c r="C3" s="559"/>
      <c r="D3" s="559"/>
      <c r="E3" s="559"/>
      <c r="G3" s="559"/>
      <c r="H3" s="559"/>
      <c r="I3" s="559"/>
      <c r="J3" s="559"/>
      <c r="L3" s="559"/>
      <c r="M3" s="559"/>
      <c r="N3" s="559"/>
      <c r="O3" s="559"/>
      <c r="Q3" s="559"/>
      <c r="R3" s="559"/>
      <c r="S3" s="559"/>
      <c r="T3" s="559"/>
    </row>
    <row r="7" spans="2:20" ht="14.1">
      <c r="B7" s="329" t="s">
        <v>283</v>
      </c>
      <c r="C7" s="330" t="s">
        <v>284</v>
      </c>
      <c r="D7" s="331" t="s">
        <v>247</v>
      </c>
      <c r="E7" s="332" t="s">
        <v>285</v>
      </c>
      <c r="G7" s="329" t="s">
        <v>283</v>
      </c>
      <c r="H7" s="330" t="s">
        <v>284</v>
      </c>
      <c r="I7" s="331" t="s">
        <v>247</v>
      </c>
      <c r="J7" s="332" t="s">
        <v>285</v>
      </c>
      <c r="L7" s="329" t="s">
        <v>283</v>
      </c>
      <c r="M7" s="330" t="s">
        <v>284</v>
      </c>
      <c r="N7" s="331" t="s">
        <v>247</v>
      </c>
      <c r="O7" s="332" t="s">
        <v>285</v>
      </c>
      <c r="Q7" s="329" t="s">
        <v>283</v>
      </c>
      <c r="R7" s="330" t="s">
        <v>284</v>
      </c>
      <c r="S7" s="331" t="s">
        <v>247</v>
      </c>
      <c r="T7" s="332" t="s">
        <v>285</v>
      </c>
    </row>
    <row r="8" spans="2:20" ht="14.1">
      <c r="B8" s="333">
        <v>45292</v>
      </c>
      <c r="C8" s="334">
        <f t="array" ref="C8:C79">TRANSPOSE(CF!E98:BX98)</f>
        <v>0</v>
      </c>
      <c r="D8" s="335">
        <f>0-C8</f>
        <v>0</v>
      </c>
      <c r="E8" s="336">
        <f>D8*'Cash-flow BASE'!$D$55/12</f>
        <v>0</v>
      </c>
      <c r="G8" s="333">
        <v>45292</v>
      </c>
      <c r="H8" s="337">
        <f t="array" ref="H8:H79">TRANSPOSE(CF!E114:BX114)</f>
        <v>0</v>
      </c>
      <c r="I8" s="335">
        <f>0-H8</f>
        <v>0</v>
      </c>
      <c r="J8" s="336">
        <f>I8*'Cash-flow BASE'!$D$56/12</f>
        <v>0</v>
      </c>
      <c r="L8" s="333">
        <v>45292</v>
      </c>
      <c r="M8" s="337">
        <f t="array" ref="M8:M79">TRANSPOSE(CF!E129:BX129)</f>
        <v>0</v>
      </c>
      <c r="N8" s="335">
        <f>0-M8</f>
        <v>0</v>
      </c>
      <c r="O8" s="336">
        <f>N8*'Cash-flow BASE'!$D$57/12</f>
        <v>0</v>
      </c>
      <c r="Q8" s="333">
        <v>45292</v>
      </c>
      <c r="R8" s="334">
        <f t="array" ref="R8:R79">TRANSPOSE(CF!E146:BX146)</f>
        <v>0</v>
      </c>
      <c r="S8" s="335">
        <f>0-R8</f>
        <v>0</v>
      </c>
      <c r="T8" s="336">
        <f>S8*'Cash-flow BASE'!$D$58/12</f>
        <v>0</v>
      </c>
    </row>
    <row r="9" spans="2:20" ht="14.1">
      <c r="B9" s="338">
        <v>45323</v>
      </c>
      <c r="C9" s="334">
        <v>0</v>
      </c>
      <c r="D9" s="335">
        <f t="shared" ref="D9:D78" si="0">D8-C9</f>
        <v>0</v>
      </c>
      <c r="E9" s="336">
        <f>D9*'Cash-flow BASE'!$D$55/12</f>
        <v>0</v>
      </c>
      <c r="G9" s="338">
        <v>45323</v>
      </c>
      <c r="H9" s="334">
        <v>0</v>
      </c>
      <c r="I9" s="335">
        <f t="shared" ref="I9:I78" si="1">I8-H9</f>
        <v>0</v>
      </c>
      <c r="J9" s="336">
        <f>I9*'Cash-flow BASE'!$D$56/12</f>
        <v>0</v>
      </c>
      <c r="L9" s="338">
        <v>45323</v>
      </c>
      <c r="M9" s="334">
        <v>0</v>
      </c>
      <c r="N9" s="335">
        <f t="shared" ref="N9:N78" si="2">N8-M9</f>
        <v>0</v>
      </c>
      <c r="O9" s="336">
        <f>N9*'Cash-flow BASE'!$D$57/12</f>
        <v>0</v>
      </c>
      <c r="Q9" s="338">
        <v>45323</v>
      </c>
      <c r="R9" s="334">
        <v>0</v>
      </c>
      <c r="S9" s="335">
        <f t="shared" ref="S9:S78" si="3">S8-R9</f>
        <v>0</v>
      </c>
      <c r="T9" s="336">
        <f>S9*'Cash-flow BASE'!$D$58/12</f>
        <v>0</v>
      </c>
    </row>
    <row r="10" spans="2:20" ht="14.1">
      <c r="B10" s="338">
        <v>45352</v>
      </c>
      <c r="C10" s="334">
        <v>0</v>
      </c>
      <c r="D10" s="335">
        <f t="shared" si="0"/>
        <v>0</v>
      </c>
      <c r="E10" s="336">
        <f>D10*'Cash-flow BASE'!$D$55/12</f>
        <v>0</v>
      </c>
      <c r="G10" s="338">
        <v>45352</v>
      </c>
      <c r="H10" s="334">
        <v>0</v>
      </c>
      <c r="I10" s="335">
        <f t="shared" si="1"/>
        <v>0</v>
      </c>
      <c r="J10" s="336">
        <f>I10*'Cash-flow BASE'!$D$56/12</f>
        <v>0</v>
      </c>
      <c r="L10" s="338">
        <v>45352</v>
      </c>
      <c r="M10" s="334">
        <v>0</v>
      </c>
      <c r="N10" s="335">
        <f t="shared" si="2"/>
        <v>0</v>
      </c>
      <c r="O10" s="336">
        <f>N10*'Cash-flow BASE'!$D$57/12</f>
        <v>0</v>
      </c>
      <c r="Q10" s="338">
        <v>45352</v>
      </c>
      <c r="R10" s="334">
        <v>0</v>
      </c>
      <c r="S10" s="335">
        <f t="shared" si="3"/>
        <v>0</v>
      </c>
      <c r="T10" s="336">
        <f>S10*'Cash-flow BASE'!$D$58/12</f>
        <v>0</v>
      </c>
    </row>
    <row r="11" spans="2:20" ht="14.1">
      <c r="B11" s="338">
        <v>45383</v>
      </c>
      <c r="C11" s="334">
        <v>0</v>
      </c>
      <c r="D11" s="335">
        <f t="shared" si="0"/>
        <v>0</v>
      </c>
      <c r="E11" s="336">
        <f>D11*'Cash-flow BASE'!$D$55/12</f>
        <v>0</v>
      </c>
      <c r="G11" s="338">
        <v>45383</v>
      </c>
      <c r="H11" s="334">
        <v>0</v>
      </c>
      <c r="I11" s="335">
        <f t="shared" si="1"/>
        <v>0</v>
      </c>
      <c r="J11" s="336">
        <f>I11*'Cash-flow BASE'!$D$56/12</f>
        <v>0</v>
      </c>
      <c r="L11" s="338">
        <v>45383</v>
      </c>
      <c r="M11" s="334">
        <v>0</v>
      </c>
      <c r="N11" s="335">
        <f t="shared" si="2"/>
        <v>0</v>
      </c>
      <c r="O11" s="336">
        <f>N11*'Cash-flow BASE'!$D$57/12</f>
        <v>0</v>
      </c>
      <c r="Q11" s="338">
        <v>45383</v>
      </c>
      <c r="R11" s="334">
        <v>0</v>
      </c>
      <c r="S11" s="335">
        <f t="shared" si="3"/>
        <v>0</v>
      </c>
      <c r="T11" s="336">
        <f>S11*'Cash-flow BASE'!$D$58/12</f>
        <v>0</v>
      </c>
    </row>
    <row r="12" spans="2:20" ht="14.1">
      <c r="B12" s="338">
        <v>45413</v>
      </c>
      <c r="C12" s="334">
        <v>-87324</v>
      </c>
      <c r="D12" s="335">
        <f t="shared" si="0"/>
        <v>87324</v>
      </c>
      <c r="E12" s="336">
        <f>D12*'Cash-flow BASE'!$D$55/12</f>
        <v>800.46999999999991</v>
      </c>
      <c r="G12" s="338">
        <v>45413</v>
      </c>
      <c r="H12" s="334">
        <v>0</v>
      </c>
      <c r="I12" s="335">
        <f t="shared" si="1"/>
        <v>0</v>
      </c>
      <c r="J12" s="336">
        <f>I12*'Cash-flow BASE'!$D$56/12</f>
        <v>0</v>
      </c>
      <c r="L12" s="338">
        <v>45413</v>
      </c>
      <c r="M12" s="334">
        <v>0</v>
      </c>
      <c r="N12" s="335">
        <f t="shared" si="2"/>
        <v>0</v>
      </c>
      <c r="O12" s="336">
        <f>N12*'Cash-flow BASE'!$D$57/12</f>
        <v>0</v>
      </c>
      <c r="Q12" s="338">
        <v>45413</v>
      </c>
      <c r="R12" s="334">
        <v>0</v>
      </c>
      <c r="S12" s="335">
        <f t="shared" si="3"/>
        <v>0</v>
      </c>
      <c r="T12" s="336">
        <f>S12*'Cash-flow BASE'!$D$58/12</f>
        <v>0</v>
      </c>
    </row>
    <row r="13" spans="2:20" ht="14.1">
      <c r="B13" s="339">
        <v>45444</v>
      </c>
      <c r="C13" s="334">
        <v>-100000</v>
      </c>
      <c r="D13" s="335">
        <f t="shared" si="0"/>
        <v>187324</v>
      </c>
      <c r="E13" s="336">
        <f>D13*'Cash-flow BASE'!$D$55/12</f>
        <v>1717.1366666666665</v>
      </c>
      <c r="G13" s="339">
        <v>45444</v>
      </c>
      <c r="H13" s="334">
        <v>0</v>
      </c>
      <c r="I13" s="335">
        <f t="shared" si="1"/>
        <v>0</v>
      </c>
      <c r="J13" s="336">
        <f>I13*'Cash-flow BASE'!$D$56/12</f>
        <v>0</v>
      </c>
      <c r="L13" s="339">
        <v>45444</v>
      </c>
      <c r="M13" s="334">
        <v>0</v>
      </c>
      <c r="N13" s="335">
        <f t="shared" si="2"/>
        <v>0</v>
      </c>
      <c r="O13" s="336">
        <f>N13*'Cash-flow BASE'!$D$57/12</f>
        <v>0</v>
      </c>
      <c r="Q13" s="339">
        <v>45444</v>
      </c>
      <c r="R13" s="334">
        <v>0</v>
      </c>
      <c r="S13" s="335">
        <f t="shared" si="3"/>
        <v>0</v>
      </c>
      <c r="T13" s="336">
        <f>S13*'Cash-flow BASE'!$D$58/12</f>
        <v>0</v>
      </c>
    </row>
    <row r="14" spans="2:20" ht="14.1">
      <c r="B14" s="338">
        <v>45474</v>
      </c>
      <c r="C14" s="334">
        <v>3400000</v>
      </c>
      <c r="D14" s="335">
        <f t="shared" si="0"/>
        <v>-3212676</v>
      </c>
      <c r="E14" s="336">
        <f>D14*'Cash-flow BASE'!$D$55/12</f>
        <v>-29449.53</v>
      </c>
      <c r="G14" s="338">
        <v>45474</v>
      </c>
      <c r="H14" s="334">
        <v>0</v>
      </c>
      <c r="I14" s="335">
        <f t="shared" si="1"/>
        <v>0</v>
      </c>
      <c r="J14" s="336">
        <f>I14*'Cash-flow BASE'!$D$56/12</f>
        <v>0</v>
      </c>
      <c r="L14" s="338">
        <v>45474</v>
      </c>
      <c r="M14" s="334">
        <v>0</v>
      </c>
      <c r="N14" s="335">
        <f t="shared" si="2"/>
        <v>0</v>
      </c>
      <c r="O14" s="336">
        <f>N14*'Cash-flow BASE'!$D$57/12</f>
        <v>0</v>
      </c>
      <c r="Q14" s="338">
        <v>45474</v>
      </c>
      <c r="R14" s="334">
        <v>0</v>
      </c>
      <c r="S14" s="335">
        <f t="shared" si="3"/>
        <v>0</v>
      </c>
      <c r="T14" s="336">
        <f>S14*'Cash-flow BASE'!$D$58/12</f>
        <v>0</v>
      </c>
    </row>
    <row r="15" spans="2:20" ht="14.1">
      <c r="B15" s="338">
        <v>45505</v>
      </c>
      <c r="C15" s="334">
        <v>-5024500</v>
      </c>
      <c r="D15" s="335">
        <f t="shared" si="0"/>
        <v>1811824</v>
      </c>
      <c r="E15" s="336">
        <f>D15*'Cash-flow BASE'!$D$55/12</f>
        <v>16608.386666666669</v>
      </c>
      <c r="G15" s="338">
        <v>45505</v>
      </c>
      <c r="H15" s="334">
        <v>0</v>
      </c>
      <c r="I15" s="335">
        <f t="shared" si="1"/>
        <v>0</v>
      </c>
      <c r="J15" s="336">
        <f>I15*'Cash-flow BASE'!$D$56/12</f>
        <v>0</v>
      </c>
      <c r="L15" s="338">
        <v>45505</v>
      </c>
      <c r="M15" s="334">
        <v>0</v>
      </c>
      <c r="N15" s="335">
        <f t="shared" si="2"/>
        <v>0</v>
      </c>
      <c r="O15" s="336">
        <f>N15*'Cash-flow BASE'!$D$57/12</f>
        <v>0</v>
      </c>
      <c r="Q15" s="338">
        <v>45505</v>
      </c>
      <c r="R15" s="334">
        <v>0</v>
      </c>
      <c r="S15" s="335">
        <f t="shared" si="3"/>
        <v>0</v>
      </c>
      <c r="T15" s="336">
        <f>S15*'Cash-flow BASE'!$D$58/12</f>
        <v>0</v>
      </c>
    </row>
    <row r="16" spans="2:20" ht="14.1">
      <c r="B16" s="338">
        <v>45536</v>
      </c>
      <c r="C16" s="334">
        <v>-1000</v>
      </c>
      <c r="D16" s="335">
        <f t="shared" si="0"/>
        <v>1812824</v>
      </c>
      <c r="E16" s="336">
        <f>D16*'Cash-flow BASE'!$D$55/12</f>
        <v>16617.553333333333</v>
      </c>
      <c r="G16" s="338">
        <v>45536</v>
      </c>
      <c r="H16" s="334">
        <v>0</v>
      </c>
      <c r="I16" s="335">
        <f t="shared" si="1"/>
        <v>0</v>
      </c>
      <c r="J16" s="336">
        <f>I16*'Cash-flow BASE'!$D$56/12</f>
        <v>0</v>
      </c>
      <c r="L16" s="338">
        <v>45536</v>
      </c>
      <c r="M16" s="334">
        <v>0</v>
      </c>
      <c r="N16" s="335">
        <f t="shared" si="2"/>
        <v>0</v>
      </c>
      <c r="O16" s="336">
        <f>N16*'Cash-flow BASE'!$D$57/12</f>
        <v>0</v>
      </c>
      <c r="Q16" s="338">
        <v>45536</v>
      </c>
      <c r="R16" s="334">
        <v>0</v>
      </c>
      <c r="S16" s="335">
        <f t="shared" si="3"/>
        <v>0</v>
      </c>
      <c r="T16" s="336">
        <f>S16*'Cash-flow BASE'!$D$58/12</f>
        <v>0</v>
      </c>
    </row>
    <row r="17" spans="2:20" ht="14.1">
      <c r="B17" s="338">
        <v>45566</v>
      </c>
      <c r="C17" s="334">
        <v>-80000</v>
      </c>
      <c r="D17" s="335">
        <f t="shared" si="0"/>
        <v>1892824</v>
      </c>
      <c r="E17" s="336">
        <f>D17*'Cash-flow BASE'!$D$55/12</f>
        <v>17350.886666666669</v>
      </c>
      <c r="G17" s="338">
        <v>45566</v>
      </c>
      <c r="H17" s="334">
        <v>0</v>
      </c>
      <c r="I17" s="335">
        <f t="shared" si="1"/>
        <v>0</v>
      </c>
      <c r="J17" s="336">
        <f>I17*'Cash-flow BASE'!$D$56/12</f>
        <v>0</v>
      </c>
      <c r="L17" s="338">
        <v>45566</v>
      </c>
      <c r="M17" s="334">
        <v>0</v>
      </c>
      <c r="N17" s="335">
        <f t="shared" si="2"/>
        <v>0</v>
      </c>
      <c r="O17" s="336">
        <f>N17*'Cash-flow BASE'!$D$57/12</f>
        <v>0</v>
      </c>
      <c r="Q17" s="338">
        <v>45566</v>
      </c>
      <c r="R17" s="334">
        <v>0</v>
      </c>
      <c r="S17" s="335">
        <f t="shared" si="3"/>
        <v>0</v>
      </c>
      <c r="T17" s="336">
        <f>S17*'Cash-flow BASE'!$D$58/12</f>
        <v>0</v>
      </c>
    </row>
    <row r="18" spans="2:20" ht="14.1">
      <c r="B18" s="338">
        <v>45597</v>
      </c>
      <c r="C18" s="334">
        <v>-31000</v>
      </c>
      <c r="D18" s="335">
        <f t="shared" si="0"/>
        <v>1923824</v>
      </c>
      <c r="E18" s="336">
        <f>D18*'Cash-flow BASE'!$D$55/12</f>
        <v>17635.053333333333</v>
      </c>
      <c r="G18" s="338">
        <v>45597</v>
      </c>
      <c r="H18" s="334">
        <v>0</v>
      </c>
      <c r="I18" s="335">
        <f t="shared" si="1"/>
        <v>0</v>
      </c>
      <c r="J18" s="336">
        <f>I18*'Cash-flow BASE'!$D$56/12</f>
        <v>0</v>
      </c>
      <c r="L18" s="338">
        <v>45597</v>
      </c>
      <c r="M18" s="334">
        <v>0</v>
      </c>
      <c r="N18" s="335">
        <f t="shared" si="2"/>
        <v>0</v>
      </c>
      <c r="O18" s="336">
        <f>N18*'Cash-flow BASE'!$D$57/12</f>
        <v>0</v>
      </c>
      <c r="Q18" s="338">
        <v>45597</v>
      </c>
      <c r="R18" s="334">
        <v>0</v>
      </c>
      <c r="S18" s="335">
        <f t="shared" si="3"/>
        <v>0</v>
      </c>
      <c r="T18" s="336">
        <f>S18*'Cash-flow BASE'!$D$58/12</f>
        <v>0</v>
      </c>
    </row>
    <row r="19" spans="2:20" ht="14.1">
      <c r="B19" s="338">
        <v>45627</v>
      </c>
      <c r="C19" s="334">
        <v>0</v>
      </c>
      <c r="D19" s="335">
        <f t="shared" si="0"/>
        <v>1923824</v>
      </c>
      <c r="E19" s="336">
        <f>D19*'Cash-flow BASE'!$D$55/12</f>
        <v>17635.053333333333</v>
      </c>
      <c r="G19" s="338">
        <v>45627</v>
      </c>
      <c r="H19" s="334">
        <v>-3994008</v>
      </c>
      <c r="I19" s="335">
        <f t="shared" si="1"/>
        <v>3994008</v>
      </c>
      <c r="J19" s="336">
        <f>I19*'Cash-flow BASE'!$D$56/12</f>
        <v>36611.74</v>
      </c>
      <c r="L19" s="338">
        <v>45627</v>
      </c>
      <c r="M19" s="334">
        <v>0</v>
      </c>
      <c r="N19" s="335">
        <f t="shared" si="2"/>
        <v>0</v>
      </c>
      <c r="O19" s="336">
        <f>N19*'Cash-flow BASE'!$D$57/12</f>
        <v>0</v>
      </c>
      <c r="Q19" s="338">
        <v>45627</v>
      </c>
      <c r="R19" s="334">
        <v>0</v>
      </c>
      <c r="S19" s="335">
        <f t="shared" si="3"/>
        <v>0</v>
      </c>
      <c r="T19" s="336">
        <f>S19*'Cash-flow BASE'!$D$58/12</f>
        <v>0</v>
      </c>
    </row>
    <row r="20" spans="2:20" ht="14.1">
      <c r="B20" s="333">
        <v>45658</v>
      </c>
      <c r="C20" s="334">
        <v>1918824</v>
      </c>
      <c r="D20" s="335">
        <f t="shared" si="0"/>
        <v>5000</v>
      </c>
      <c r="E20" s="336">
        <f>D20*'Cash-flow BASE'!$D$55/12</f>
        <v>45.833333333333336</v>
      </c>
      <c r="G20" s="333">
        <v>45658</v>
      </c>
      <c r="H20" s="334">
        <v>0</v>
      </c>
      <c r="I20" s="335">
        <f t="shared" si="1"/>
        <v>3994008</v>
      </c>
      <c r="J20" s="336">
        <f>I20*'Cash-flow BASE'!$D$56/12</f>
        <v>36611.74</v>
      </c>
      <c r="L20" s="333">
        <v>45658</v>
      </c>
      <c r="M20" s="334">
        <v>0</v>
      </c>
      <c r="N20" s="335">
        <f t="shared" si="2"/>
        <v>0</v>
      </c>
      <c r="O20" s="336">
        <f>N20*'Cash-flow BASE'!$D$57/12</f>
        <v>0</v>
      </c>
      <c r="Q20" s="333">
        <v>45658</v>
      </c>
      <c r="R20" s="334">
        <v>0</v>
      </c>
      <c r="S20" s="335">
        <f t="shared" si="3"/>
        <v>0</v>
      </c>
      <c r="T20" s="336">
        <f>S20*'Cash-flow BASE'!$D$58/12</f>
        <v>0</v>
      </c>
    </row>
    <row r="21" spans="2:20" ht="14.1">
      <c r="B21" s="338">
        <v>45689</v>
      </c>
      <c r="C21" s="334">
        <v>0</v>
      </c>
      <c r="D21" s="335">
        <f t="shared" si="0"/>
        <v>5000</v>
      </c>
      <c r="E21" s="336">
        <f>D21*'Cash-flow BASE'!$D$55/12</f>
        <v>45.833333333333336</v>
      </c>
      <c r="G21" s="338">
        <v>45689</v>
      </c>
      <c r="H21" s="334">
        <v>0</v>
      </c>
      <c r="I21" s="335">
        <f t="shared" si="1"/>
        <v>3994008</v>
      </c>
      <c r="J21" s="336">
        <f>I21*'Cash-flow BASE'!$D$56/12</f>
        <v>36611.74</v>
      </c>
      <c r="L21" s="338">
        <v>45689</v>
      </c>
      <c r="M21" s="334">
        <v>0</v>
      </c>
      <c r="N21" s="335">
        <f t="shared" si="2"/>
        <v>0</v>
      </c>
      <c r="O21" s="336">
        <f>N21*'Cash-flow BASE'!$D$57/12</f>
        <v>0</v>
      </c>
      <c r="Q21" s="338">
        <v>45689</v>
      </c>
      <c r="R21" s="334">
        <v>0</v>
      </c>
      <c r="S21" s="335">
        <f t="shared" si="3"/>
        <v>0</v>
      </c>
      <c r="T21" s="336">
        <f>S21*'Cash-flow BASE'!$D$58/12</f>
        <v>0</v>
      </c>
    </row>
    <row r="22" spans="2:20" ht="14.1">
      <c r="B22" s="338">
        <v>45717</v>
      </c>
      <c r="C22" s="334">
        <v>0</v>
      </c>
      <c r="D22" s="335">
        <f t="shared" si="0"/>
        <v>5000</v>
      </c>
      <c r="E22" s="336">
        <f>D22*'Cash-flow BASE'!$D$55/12</f>
        <v>45.833333333333336</v>
      </c>
      <c r="G22" s="338">
        <v>45717</v>
      </c>
      <c r="H22" s="334">
        <v>0</v>
      </c>
      <c r="I22" s="335">
        <f t="shared" si="1"/>
        <v>3994008</v>
      </c>
      <c r="J22" s="336">
        <f>I22*'Cash-flow BASE'!$D$56/12</f>
        <v>36611.74</v>
      </c>
      <c r="L22" s="338">
        <v>45717</v>
      </c>
      <c r="M22" s="334">
        <v>0</v>
      </c>
      <c r="N22" s="335">
        <f t="shared" si="2"/>
        <v>0</v>
      </c>
      <c r="O22" s="336">
        <f>N22*'Cash-flow BASE'!$D$57/12</f>
        <v>0</v>
      </c>
      <c r="Q22" s="338">
        <v>45717</v>
      </c>
      <c r="R22" s="334">
        <v>0</v>
      </c>
      <c r="S22" s="335">
        <f t="shared" si="3"/>
        <v>0</v>
      </c>
      <c r="T22" s="336">
        <f>S22*'Cash-flow BASE'!$D$58/12</f>
        <v>0</v>
      </c>
    </row>
    <row r="23" spans="2:20" ht="14.1">
      <c r="B23" s="338">
        <v>45748</v>
      </c>
      <c r="C23" s="334">
        <v>0</v>
      </c>
      <c r="D23" s="335">
        <f t="shared" si="0"/>
        <v>5000</v>
      </c>
      <c r="E23" s="336">
        <f>D23*'Cash-flow BASE'!$D$55/12</f>
        <v>45.833333333333336</v>
      </c>
      <c r="G23" s="338">
        <v>45748</v>
      </c>
      <c r="H23" s="334">
        <v>-500000</v>
      </c>
      <c r="I23" s="335">
        <f t="shared" si="1"/>
        <v>4494008</v>
      </c>
      <c r="J23" s="336">
        <f>I23*'Cash-flow BASE'!$D$56/12</f>
        <v>41195.073333333334</v>
      </c>
      <c r="L23" s="338">
        <v>45748</v>
      </c>
      <c r="M23" s="334">
        <v>0</v>
      </c>
      <c r="N23" s="335">
        <f t="shared" si="2"/>
        <v>0</v>
      </c>
      <c r="O23" s="336">
        <f>N23*'Cash-flow BASE'!$D$57/12</f>
        <v>0</v>
      </c>
      <c r="Q23" s="338">
        <v>45748</v>
      </c>
      <c r="R23" s="334">
        <v>0</v>
      </c>
      <c r="S23" s="335">
        <f t="shared" si="3"/>
        <v>0</v>
      </c>
      <c r="T23" s="336">
        <f>S23*'Cash-flow BASE'!$D$58/12</f>
        <v>0</v>
      </c>
    </row>
    <row r="24" spans="2:20" ht="14.1">
      <c r="B24" s="338">
        <v>45778</v>
      </c>
      <c r="C24" s="334">
        <v>-203000</v>
      </c>
      <c r="D24" s="335">
        <f t="shared" si="0"/>
        <v>208000</v>
      </c>
      <c r="E24" s="336">
        <f>D24*'Cash-flow BASE'!$D$55/12</f>
        <v>1906.6666666666667</v>
      </c>
      <c r="G24" s="338">
        <v>45778</v>
      </c>
      <c r="H24" s="334">
        <v>0</v>
      </c>
      <c r="I24" s="335">
        <f t="shared" si="1"/>
        <v>4494008</v>
      </c>
      <c r="J24" s="336">
        <f>I24*'Cash-flow BASE'!$D$56/12</f>
        <v>41195.073333333334</v>
      </c>
      <c r="L24" s="338">
        <v>45778</v>
      </c>
      <c r="M24" s="334">
        <v>0</v>
      </c>
      <c r="N24" s="335">
        <f t="shared" si="2"/>
        <v>0</v>
      </c>
      <c r="O24" s="336">
        <f>N24*'Cash-flow BASE'!$D$57/12</f>
        <v>0</v>
      </c>
      <c r="Q24" s="338">
        <v>45778</v>
      </c>
      <c r="R24" s="334">
        <v>0</v>
      </c>
      <c r="S24" s="335">
        <f t="shared" si="3"/>
        <v>0</v>
      </c>
      <c r="T24" s="336">
        <f>S24*'Cash-flow BASE'!$D$58/12</f>
        <v>0</v>
      </c>
    </row>
    <row r="25" spans="2:20" ht="14.1">
      <c r="B25" s="339">
        <v>45809</v>
      </c>
      <c r="C25" s="334">
        <v>-825000</v>
      </c>
      <c r="D25" s="335">
        <f t="shared" si="0"/>
        <v>1033000</v>
      </c>
      <c r="E25" s="336">
        <f>D25*'Cash-flow BASE'!$D$55/12</f>
        <v>9469.1666666666661</v>
      </c>
      <c r="G25" s="339">
        <v>45809</v>
      </c>
      <c r="H25" s="334">
        <v>0</v>
      </c>
      <c r="I25" s="335">
        <f t="shared" si="1"/>
        <v>4494008</v>
      </c>
      <c r="J25" s="336">
        <f>I25*'Cash-flow BASE'!$D$56/12</f>
        <v>41195.073333333334</v>
      </c>
      <c r="L25" s="339">
        <v>45809</v>
      </c>
      <c r="M25" s="334">
        <v>0</v>
      </c>
      <c r="N25" s="335">
        <f t="shared" si="2"/>
        <v>0</v>
      </c>
      <c r="O25" s="336">
        <f>N25*'Cash-flow BASE'!$D$57/12</f>
        <v>0</v>
      </c>
      <c r="Q25" s="339">
        <v>45809</v>
      </c>
      <c r="R25" s="334">
        <v>0</v>
      </c>
      <c r="S25" s="335">
        <f t="shared" si="3"/>
        <v>0</v>
      </c>
      <c r="T25" s="336">
        <f>S25*'Cash-flow BASE'!$D$58/12</f>
        <v>0</v>
      </c>
    </row>
    <row r="26" spans="2:20" ht="14.1">
      <c r="B26" s="338">
        <v>45839</v>
      </c>
      <c r="C26" s="334">
        <v>-2950000</v>
      </c>
      <c r="D26" s="335">
        <f t="shared" si="0"/>
        <v>3983000</v>
      </c>
      <c r="E26" s="336">
        <f>D26*'Cash-flow BASE'!$D$55/12</f>
        <v>36510.833333333336</v>
      </c>
      <c r="G26" s="338">
        <v>45839</v>
      </c>
      <c r="H26" s="334">
        <v>-19000000</v>
      </c>
      <c r="I26" s="335">
        <f t="shared" si="1"/>
        <v>23494008</v>
      </c>
      <c r="J26" s="336">
        <f>I26*'Cash-flow BASE'!$D$56/12</f>
        <v>215361.74</v>
      </c>
      <c r="L26" s="338">
        <v>45839</v>
      </c>
      <c r="M26" s="334">
        <v>0</v>
      </c>
      <c r="N26" s="335">
        <f t="shared" si="2"/>
        <v>0</v>
      </c>
      <c r="O26" s="336">
        <f>N26*'Cash-flow BASE'!$D$57/12</f>
        <v>0</v>
      </c>
      <c r="Q26" s="338">
        <v>45839</v>
      </c>
      <c r="R26" s="334">
        <v>0</v>
      </c>
      <c r="S26" s="335">
        <f t="shared" si="3"/>
        <v>0</v>
      </c>
      <c r="T26" s="336">
        <f>S26*'Cash-flow BASE'!$D$58/12</f>
        <v>0</v>
      </c>
    </row>
    <row r="27" spans="2:20" ht="14.1">
      <c r="B27" s="338">
        <v>45870</v>
      </c>
      <c r="C27" s="334">
        <v>-1500000</v>
      </c>
      <c r="D27" s="335">
        <f t="shared" si="0"/>
        <v>5483000</v>
      </c>
      <c r="E27" s="336">
        <f>D27*'Cash-flow BASE'!$D$55/12</f>
        <v>50260.833333333336</v>
      </c>
      <c r="G27" s="338">
        <v>45870</v>
      </c>
      <c r="H27" s="334">
        <v>0</v>
      </c>
      <c r="I27" s="335">
        <f t="shared" si="1"/>
        <v>23494008</v>
      </c>
      <c r="J27" s="336">
        <f>I27*'Cash-flow BASE'!$D$56/12</f>
        <v>215361.74</v>
      </c>
      <c r="L27" s="338">
        <v>45870</v>
      </c>
      <c r="M27" s="334">
        <v>0</v>
      </c>
      <c r="N27" s="335">
        <f t="shared" si="2"/>
        <v>0</v>
      </c>
      <c r="O27" s="336">
        <f>N27*'Cash-flow BASE'!$D$57/12</f>
        <v>0</v>
      </c>
      <c r="Q27" s="338">
        <v>45870</v>
      </c>
      <c r="R27" s="334">
        <v>0</v>
      </c>
      <c r="S27" s="335">
        <f t="shared" si="3"/>
        <v>0</v>
      </c>
      <c r="T27" s="336">
        <f>S27*'Cash-flow BASE'!$D$58/12</f>
        <v>0</v>
      </c>
    </row>
    <row r="28" spans="2:20" ht="14.1">
      <c r="B28" s="338">
        <v>45901</v>
      </c>
      <c r="C28" s="334">
        <v>0</v>
      </c>
      <c r="D28" s="335">
        <f t="shared" si="0"/>
        <v>5483000</v>
      </c>
      <c r="E28" s="336">
        <f>D28*'Cash-flow BASE'!$D$55/12</f>
        <v>50260.833333333336</v>
      </c>
      <c r="G28" s="338">
        <v>45901</v>
      </c>
      <c r="H28" s="334">
        <v>0</v>
      </c>
      <c r="I28" s="335">
        <f t="shared" si="1"/>
        <v>23494008</v>
      </c>
      <c r="J28" s="336">
        <f>I28*'Cash-flow BASE'!$D$56/12</f>
        <v>215361.74</v>
      </c>
      <c r="L28" s="338">
        <v>45901</v>
      </c>
      <c r="M28" s="334">
        <v>0</v>
      </c>
      <c r="N28" s="335">
        <f t="shared" si="2"/>
        <v>0</v>
      </c>
      <c r="O28" s="336">
        <f>N28*'Cash-flow BASE'!$D$57/12</f>
        <v>0</v>
      </c>
      <c r="Q28" s="338">
        <v>45901</v>
      </c>
      <c r="R28" s="334">
        <v>0</v>
      </c>
      <c r="S28" s="335">
        <f t="shared" si="3"/>
        <v>0</v>
      </c>
      <c r="T28" s="336">
        <f>S28*'Cash-flow BASE'!$D$58/12</f>
        <v>0</v>
      </c>
    </row>
    <row r="29" spans="2:20" ht="14.1">
      <c r="B29" s="338">
        <v>45931</v>
      </c>
      <c r="C29" s="334">
        <v>0</v>
      </c>
      <c r="D29" s="335">
        <f t="shared" si="0"/>
        <v>5483000</v>
      </c>
      <c r="E29" s="336">
        <f>D29*'Cash-flow BASE'!$D$55/12</f>
        <v>50260.833333333336</v>
      </c>
      <c r="G29" s="338">
        <v>45931</v>
      </c>
      <c r="H29" s="334">
        <v>0</v>
      </c>
      <c r="I29" s="335">
        <f t="shared" si="1"/>
        <v>23494008</v>
      </c>
      <c r="J29" s="336">
        <f>I29*'Cash-flow BASE'!$D$56/12</f>
        <v>215361.74</v>
      </c>
      <c r="L29" s="338">
        <v>45931</v>
      </c>
      <c r="M29" s="334">
        <v>0</v>
      </c>
      <c r="N29" s="335">
        <f t="shared" si="2"/>
        <v>0</v>
      </c>
      <c r="O29" s="336">
        <f>N29*'Cash-flow BASE'!$D$57/12</f>
        <v>0</v>
      </c>
      <c r="Q29" s="338">
        <v>45931</v>
      </c>
      <c r="R29" s="334">
        <v>0</v>
      </c>
      <c r="S29" s="335">
        <f t="shared" si="3"/>
        <v>0</v>
      </c>
      <c r="T29" s="336">
        <f>S29*'Cash-flow BASE'!$D$58/12</f>
        <v>0</v>
      </c>
    </row>
    <row r="30" spans="2:20" ht="14.1">
      <c r="B30" s="338">
        <v>45962</v>
      </c>
      <c r="C30" s="334">
        <v>0</v>
      </c>
      <c r="D30" s="335">
        <f t="shared" si="0"/>
        <v>5483000</v>
      </c>
      <c r="E30" s="336">
        <f>D30*'Cash-flow BASE'!$D$55/12</f>
        <v>50260.833333333336</v>
      </c>
      <c r="G30" s="338">
        <v>45962</v>
      </c>
      <c r="H30" s="334">
        <v>0</v>
      </c>
      <c r="I30" s="335">
        <f t="shared" si="1"/>
        <v>23494008</v>
      </c>
      <c r="J30" s="336">
        <f>I30*'Cash-flow BASE'!$D$56/12</f>
        <v>215361.74</v>
      </c>
      <c r="L30" s="338">
        <v>45962</v>
      </c>
      <c r="M30" s="334">
        <v>0</v>
      </c>
      <c r="N30" s="335">
        <f t="shared" si="2"/>
        <v>0</v>
      </c>
      <c r="O30" s="336">
        <f>N30*'Cash-flow BASE'!$D$57/12</f>
        <v>0</v>
      </c>
      <c r="Q30" s="338">
        <v>45962</v>
      </c>
      <c r="R30" s="334">
        <v>0</v>
      </c>
      <c r="S30" s="335">
        <f t="shared" si="3"/>
        <v>0</v>
      </c>
      <c r="T30" s="336">
        <f>S30*'Cash-flow BASE'!$D$58/12</f>
        <v>0</v>
      </c>
    </row>
    <row r="31" spans="2:20" ht="14.1">
      <c r="B31" s="338">
        <v>45992</v>
      </c>
      <c r="C31" s="334">
        <v>0</v>
      </c>
      <c r="D31" s="335">
        <f t="shared" si="0"/>
        <v>5483000</v>
      </c>
      <c r="E31" s="336">
        <f>D31*'Cash-flow BASE'!$D$55/12</f>
        <v>50260.833333333336</v>
      </c>
      <c r="G31" s="338">
        <v>45992</v>
      </c>
      <c r="H31" s="334">
        <v>0</v>
      </c>
      <c r="I31" s="335">
        <f t="shared" si="1"/>
        <v>23494008</v>
      </c>
      <c r="J31" s="336">
        <f>I31*'Cash-flow BASE'!$D$56/12</f>
        <v>215361.74</v>
      </c>
      <c r="L31" s="338">
        <v>45992</v>
      </c>
      <c r="M31" s="334">
        <v>0</v>
      </c>
      <c r="N31" s="335">
        <f t="shared" si="2"/>
        <v>0</v>
      </c>
      <c r="O31" s="336">
        <f>N31*'Cash-flow BASE'!$D$57/12</f>
        <v>0</v>
      </c>
      <c r="Q31" s="338">
        <v>45992</v>
      </c>
      <c r="R31" s="334">
        <v>0</v>
      </c>
      <c r="S31" s="335">
        <f t="shared" si="3"/>
        <v>0</v>
      </c>
      <c r="T31" s="336">
        <f>S31*'Cash-flow BASE'!$D$58/12</f>
        <v>0</v>
      </c>
    </row>
    <row r="32" spans="2:20" ht="14.1">
      <c r="B32" s="333">
        <v>46023</v>
      </c>
      <c r="C32" s="334">
        <v>0</v>
      </c>
      <c r="D32" s="335">
        <f t="shared" si="0"/>
        <v>5483000</v>
      </c>
      <c r="E32" s="336">
        <f>D32*'Cash-flow BASE'!$D$55/12</f>
        <v>50260.833333333336</v>
      </c>
      <c r="G32" s="333">
        <v>46023</v>
      </c>
      <c r="H32" s="334">
        <v>1632000</v>
      </c>
      <c r="I32" s="335">
        <f t="shared" si="1"/>
        <v>21862008</v>
      </c>
      <c r="J32" s="336">
        <f>I32*'Cash-flow BASE'!$D$56/12</f>
        <v>200401.74</v>
      </c>
      <c r="L32" s="333">
        <v>46023</v>
      </c>
      <c r="M32" s="334">
        <v>0</v>
      </c>
      <c r="N32" s="335">
        <f t="shared" si="2"/>
        <v>0</v>
      </c>
      <c r="O32" s="336">
        <f>N32*'Cash-flow BASE'!$D$57/12</f>
        <v>0</v>
      </c>
      <c r="Q32" s="333">
        <v>46023</v>
      </c>
      <c r="R32" s="334">
        <v>0</v>
      </c>
      <c r="S32" s="335">
        <f t="shared" si="3"/>
        <v>0</v>
      </c>
      <c r="T32" s="336">
        <f>S32*'Cash-flow BASE'!$D$58/12</f>
        <v>0</v>
      </c>
    </row>
    <row r="33" spans="2:20" ht="14.1">
      <c r="B33" s="338">
        <v>46054</v>
      </c>
      <c r="C33" s="334">
        <v>0</v>
      </c>
      <c r="D33" s="335">
        <f t="shared" si="0"/>
        <v>5483000</v>
      </c>
      <c r="E33" s="336">
        <f>D33*'Cash-flow BASE'!$D$55/12</f>
        <v>50260.833333333336</v>
      </c>
      <c r="G33" s="338">
        <v>46054</v>
      </c>
      <c r="H33" s="334">
        <v>0</v>
      </c>
      <c r="I33" s="335">
        <f t="shared" si="1"/>
        <v>21862008</v>
      </c>
      <c r="J33" s="336">
        <f>I33*'Cash-flow BASE'!$D$56/12</f>
        <v>200401.74</v>
      </c>
      <c r="L33" s="338">
        <v>46054</v>
      </c>
      <c r="M33" s="334">
        <v>0</v>
      </c>
      <c r="N33" s="335">
        <f t="shared" si="2"/>
        <v>0</v>
      </c>
      <c r="O33" s="336">
        <f>N33*'Cash-flow BASE'!$D$57/12</f>
        <v>0</v>
      </c>
      <c r="Q33" s="338">
        <v>46054</v>
      </c>
      <c r="R33" s="334">
        <v>0</v>
      </c>
      <c r="S33" s="335">
        <f t="shared" si="3"/>
        <v>0</v>
      </c>
      <c r="T33" s="336">
        <f>S33*'Cash-flow BASE'!$D$58/12</f>
        <v>0</v>
      </c>
    </row>
    <row r="34" spans="2:20" ht="14.1">
      <c r="B34" s="338">
        <v>46082</v>
      </c>
      <c r="C34" s="334">
        <v>0</v>
      </c>
      <c r="D34" s="335">
        <f t="shared" si="0"/>
        <v>5483000</v>
      </c>
      <c r="E34" s="336">
        <f>D34*'Cash-flow BASE'!$D$55/12</f>
        <v>50260.833333333336</v>
      </c>
      <c r="G34" s="338">
        <v>46082</v>
      </c>
      <c r="H34" s="334">
        <v>0</v>
      </c>
      <c r="I34" s="335">
        <f t="shared" si="1"/>
        <v>21862008</v>
      </c>
      <c r="J34" s="336">
        <f>I34*'Cash-flow BASE'!$D$56/12</f>
        <v>200401.74</v>
      </c>
      <c r="L34" s="338">
        <v>46082</v>
      </c>
      <c r="M34" s="334">
        <v>0</v>
      </c>
      <c r="N34" s="335">
        <f t="shared" si="2"/>
        <v>0</v>
      </c>
      <c r="O34" s="336">
        <f>N34*'Cash-flow BASE'!$D$57/12</f>
        <v>0</v>
      </c>
      <c r="Q34" s="338">
        <v>46082</v>
      </c>
      <c r="R34" s="334">
        <v>0</v>
      </c>
      <c r="S34" s="335">
        <f t="shared" si="3"/>
        <v>0</v>
      </c>
      <c r="T34" s="336">
        <f>S34*'Cash-flow BASE'!$D$58/12</f>
        <v>0</v>
      </c>
    </row>
    <row r="35" spans="2:20" ht="14.1">
      <c r="B35" s="338">
        <v>46113</v>
      </c>
      <c r="C35" s="334">
        <v>0</v>
      </c>
      <c r="D35" s="335">
        <f t="shared" si="0"/>
        <v>5483000</v>
      </c>
      <c r="E35" s="336">
        <f>D35*'Cash-flow BASE'!$D$55/12</f>
        <v>50260.833333333336</v>
      </c>
      <c r="G35" s="338">
        <v>46113</v>
      </c>
      <c r="H35" s="334">
        <v>0</v>
      </c>
      <c r="I35" s="335">
        <f t="shared" si="1"/>
        <v>21862008</v>
      </c>
      <c r="J35" s="336">
        <f>I35*'Cash-flow BASE'!$D$56/12</f>
        <v>200401.74</v>
      </c>
      <c r="L35" s="338">
        <v>46113</v>
      </c>
      <c r="M35" s="334">
        <v>0</v>
      </c>
      <c r="N35" s="335">
        <f t="shared" si="2"/>
        <v>0</v>
      </c>
      <c r="O35" s="336">
        <f>N35*'Cash-flow BASE'!$D$57/12</f>
        <v>0</v>
      </c>
      <c r="Q35" s="338">
        <v>46113</v>
      </c>
      <c r="R35" s="334">
        <v>0</v>
      </c>
      <c r="S35" s="335">
        <f t="shared" si="3"/>
        <v>0</v>
      </c>
      <c r="T35" s="336">
        <f>S35*'Cash-flow BASE'!$D$58/12</f>
        <v>0</v>
      </c>
    </row>
    <row r="36" spans="2:20" ht="14.1">
      <c r="B36" s="338">
        <v>46143</v>
      </c>
      <c r="C36" s="334">
        <v>0</v>
      </c>
      <c r="D36" s="335">
        <f t="shared" si="0"/>
        <v>5483000</v>
      </c>
      <c r="E36" s="336">
        <f>D36*'Cash-flow BASE'!$D$55/12</f>
        <v>50260.833333333336</v>
      </c>
      <c r="G36" s="338">
        <v>46143</v>
      </c>
      <c r="H36" s="334">
        <v>0</v>
      </c>
      <c r="I36" s="335">
        <f t="shared" si="1"/>
        <v>21862008</v>
      </c>
      <c r="J36" s="336">
        <f>I36*'Cash-flow BASE'!$D$56/12</f>
        <v>200401.74</v>
      </c>
      <c r="L36" s="338">
        <v>46143</v>
      </c>
      <c r="M36" s="334">
        <v>0</v>
      </c>
      <c r="N36" s="335">
        <f t="shared" si="2"/>
        <v>0</v>
      </c>
      <c r="O36" s="336">
        <f>N36*'Cash-flow BASE'!$D$57/12</f>
        <v>0</v>
      </c>
      <c r="Q36" s="338">
        <v>46143</v>
      </c>
      <c r="R36" s="334">
        <v>0</v>
      </c>
      <c r="S36" s="335">
        <f t="shared" si="3"/>
        <v>0</v>
      </c>
      <c r="T36" s="336">
        <f>S36*'Cash-flow BASE'!$D$58/12</f>
        <v>0</v>
      </c>
    </row>
    <row r="37" spans="2:20" ht="14.1">
      <c r="B37" s="339">
        <v>46174</v>
      </c>
      <c r="C37" s="334">
        <v>0</v>
      </c>
      <c r="D37" s="335">
        <f t="shared" si="0"/>
        <v>5483000</v>
      </c>
      <c r="E37" s="336">
        <f>D37*'Cash-flow BASE'!$D$55/12</f>
        <v>50260.833333333336</v>
      </c>
      <c r="G37" s="339">
        <v>46174</v>
      </c>
      <c r="H37" s="334">
        <v>0</v>
      </c>
      <c r="I37" s="335">
        <f t="shared" si="1"/>
        <v>21862008</v>
      </c>
      <c r="J37" s="336">
        <f>I37*'Cash-flow BASE'!$D$56/12</f>
        <v>200401.74</v>
      </c>
      <c r="L37" s="339">
        <v>46174</v>
      </c>
      <c r="M37" s="334">
        <v>0</v>
      </c>
      <c r="N37" s="335">
        <f t="shared" si="2"/>
        <v>0</v>
      </c>
      <c r="O37" s="336">
        <f>N37*'Cash-flow BASE'!$D$57/12</f>
        <v>0</v>
      </c>
      <c r="Q37" s="339">
        <v>46174</v>
      </c>
      <c r="R37" s="334">
        <v>0</v>
      </c>
      <c r="S37" s="335">
        <f t="shared" si="3"/>
        <v>0</v>
      </c>
      <c r="T37" s="336">
        <f>S37*'Cash-flow BASE'!$D$58/12</f>
        <v>0</v>
      </c>
    </row>
    <row r="38" spans="2:20" ht="14.1">
      <c r="B38" s="338">
        <v>46204</v>
      </c>
      <c r="C38" s="334">
        <v>0</v>
      </c>
      <c r="D38" s="335">
        <f t="shared" si="0"/>
        <v>5483000</v>
      </c>
      <c r="E38" s="336">
        <f>D38*'Cash-flow BASE'!$D$55/12</f>
        <v>50260.833333333336</v>
      </c>
      <c r="F38" s="340">
        <f>-SUM(E12:E38)-E37</f>
        <v>-760375.8433333335</v>
      </c>
      <c r="G38" s="338">
        <v>46204</v>
      </c>
      <c r="H38" s="334">
        <v>0</v>
      </c>
      <c r="I38" s="335">
        <f t="shared" si="1"/>
        <v>21862008</v>
      </c>
      <c r="J38" s="336">
        <f>I38*'Cash-flow BASE'!$D$56/12</f>
        <v>200401.74</v>
      </c>
      <c r="K38" s="340">
        <f>-SUM(J15:J38)-J37</f>
        <v>-3165416.540000001</v>
      </c>
      <c r="L38" s="338">
        <v>46204</v>
      </c>
      <c r="M38" s="334">
        <v>0</v>
      </c>
      <c r="N38" s="335">
        <f t="shared" si="2"/>
        <v>0</v>
      </c>
      <c r="O38" s="336">
        <f>N38*'Cash-flow BASE'!$D$57/12</f>
        <v>0</v>
      </c>
      <c r="Q38" s="338">
        <v>46204</v>
      </c>
      <c r="R38" s="334">
        <v>0</v>
      </c>
      <c r="S38" s="335">
        <f t="shared" si="3"/>
        <v>0</v>
      </c>
      <c r="T38" s="336">
        <f>S38*'Cash-flow BASE'!$D$58/12</f>
        <v>0</v>
      </c>
    </row>
    <row r="39" spans="2:20" ht="14.1">
      <c r="B39" s="338">
        <v>46235</v>
      </c>
      <c r="C39" s="334">
        <v>0</v>
      </c>
      <c r="D39" s="335">
        <f t="shared" si="0"/>
        <v>5483000</v>
      </c>
      <c r="E39" s="336">
        <f>D39*'Cash-flow BASE'!$D$55/12</f>
        <v>50260.833333333336</v>
      </c>
      <c r="G39" s="338">
        <v>46235</v>
      </c>
      <c r="H39" s="334">
        <v>0</v>
      </c>
      <c r="I39" s="335">
        <f t="shared" si="1"/>
        <v>21862008</v>
      </c>
      <c r="J39" s="336">
        <f>I39*'Cash-flow BASE'!$D$56/12</f>
        <v>200401.74</v>
      </c>
      <c r="L39" s="338">
        <v>46235</v>
      </c>
      <c r="M39" s="334">
        <v>0</v>
      </c>
      <c r="N39" s="335">
        <f t="shared" si="2"/>
        <v>0</v>
      </c>
      <c r="O39" s="336">
        <f>N39*'Cash-flow BASE'!$D$57/12</f>
        <v>0</v>
      </c>
      <c r="Q39" s="338">
        <v>46235</v>
      </c>
      <c r="R39" s="334">
        <v>0</v>
      </c>
      <c r="S39" s="335">
        <f t="shared" si="3"/>
        <v>0</v>
      </c>
      <c r="T39" s="336">
        <f>S39*'Cash-flow BASE'!$D$58/12</f>
        <v>0</v>
      </c>
    </row>
    <row r="40" spans="2:20" ht="14.1">
      <c r="B40" s="338">
        <v>46266</v>
      </c>
      <c r="C40" s="334">
        <v>0</v>
      </c>
      <c r="D40" s="335">
        <f t="shared" si="0"/>
        <v>5483000</v>
      </c>
      <c r="E40" s="336">
        <f>D40*'Cash-flow BASE'!$D$55/12</f>
        <v>50260.833333333336</v>
      </c>
      <c r="G40" s="338">
        <v>46266</v>
      </c>
      <c r="H40" s="334">
        <v>0</v>
      </c>
      <c r="I40" s="335">
        <f t="shared" si="1"/>
        <v>21862008</v>
      </c>
      <c r="J40" s="336">
        <f>I40*'Cash-flow BASE'!$D$56/12</f>
        <v>200401.74</v>
      </c>
      <c r="L40" s="338">
        <v>46266</v>
      </c>
      <c r="M40" s="334">
        <v>0</v>
      </c>
      <c r="N40" s="335">
        <f t="shared" si="2"/>
        <v>0</v>
      </c>
      <c r="O40" s="336">
        <f>N40*'Cash-flow BASE'!$D$57/12</f>
        <v>0</v>
      </c>
      <c r="Q40" s="338">
        <v>46266</v>
      </c>
      <c r="R40" s="334">
        <v>0</v>
      </c>
      <c r="S40" s="335">
        <f t="shared" si="3"/>
        <v>0</v>
      </c>
      <c r="T40" s="336">
        <f>S40*'Cash-flow BASE'!$D$58/12</f>
        <v>0</v>
      </c>
    </row>
    <row r="41" spans="2:20" ht="14.1">
      <c r="B41" s="338">
        <v>46296</v>
      </c>
      <c r="C41" s="334">
        <v>0</v>
      </c>
      <c r="D41" s="335">
        <f t="shared" si="0"/>
        <v>5483000</v>
      </c>
      <c r="E41" s="336">
        <f>D41*'Cash-flow BASE'!$D$55/12</f>
        <v>50260.833333333336</v>
      </c>
      <c r="G41" s="338">
        <v>46296</v>
      </c>
      <c r="H41" s="334">
        <v>0</v>
      </c>
      <c r="I41" s="335">
        <f t="shared" si="1"/>
        <v>21862008</v>
      </c>
      <c r="J41" s="336">
        <f>I41*'Cash-flow BASE'!$D$56/12</f>
        <v>200401.74</v>
      </c>
      <c r="K41" s="340">
        <f>-SUM(J19:J43)-J43</f>
        <v>-3566220.0200000014</v>
      </c>
      <c r="L41" s="338">
        <v>46296</v>
      </c>
      <c r="M41" s="334">
        <v>0</v>
      </c>
      <c r="N41" s="335">
        <f t="shared" si="2"/>
        <v>0</v>
      </c>
      <c r="O41" s="336">
        <f>N41*'Cash-flow BASE'!$D$57/12</f>
        <v>0</v>
      </c>
      <c r="Q41" s="338">
        <v>46296</v>
      </c>
      <c r="R41" s="334">
        <v>0</v>
      </c>
      <c r="S41" s="335">
        <f t="shared" si="3"/>
        <v>0</v>
      </c>
      <c r="T41" s="336">
        <f>S41*'Cash-flow BASE'!$D$58/12</f>
        <v>0</v>
      </c>
    </row>
    <row r="42" spans="2:20" ht="14.1">
      <c r="B42" s="338">
        <v>46327</v>
      </c>
      <c r="C42" s="334">
        <v>5483000</v>
      </c>
      <c r="D42" s="335">
        <f t="shared" si="0"/>
        <v>0</v>
      </c>
      <c r="E42" s="336">
        <f>D42*'Cash-flow BASE'!$D$55/12</f>
        <v>0</v>
      </c>
      <c r="G42" s="338">
        <v>46327</v>
      </c>
      <c r="H42" s="334">
        <v>21862008</v>
      </c>
      <c r="I42" s="335">
        <f t="shared" si="1"/>
        <v>0</v>
      </c>
      <c r="J42" s="336">
        <f>I42*'Cash-flow BASE'!$D$56/12</f>
        <v>0</v>
      </c>
      <c r="L42" s="338">
        <v>46327</v>
      </c>
      <c r="M42" s="334">
        <v>0</v>
      </c>
      <c r="N42" s="335">
        <f t="shared" si="2"/>
        <v>0</v>
      </c>
      <c r="O42" s="336">
        <f>N42*'Cash-flow BASE'!$D$57/12</f>
        <v>0</v>
      </c>
      <c r="Q42" s="338">
        <v>46327</v>
      </c>
      <c r="R42" s="334">
        <v>0</v>
      </c>
      <c r="S42" s="335">
        <f t="shared" si="3"/>
        <v>0</v>
      </c>
      <c r="T42" s="336">
        <f>S42*'Cash-flow BASE'!$D$58/12</f>
        <v>0</v>
      </c>
    </row>
    <row r="43" spans="2:20" ht="14.1">
      <c r="B43" s="338">
        <v>46357</v>
      </c>
      <c r="C43" s="334">
        <v>0</v>
      </c>
      <c r="D43" s="335">
        <f t="shared" si="0"/>
        <v>0</v>
      </c>
      <c r="E43" s="336">
        <f>D43*'Cash-flow BASE'!$D$55/12</f>
        <v>0</v>
      </c>
      <c r="G43" s="338">
        <v>46357</v>
      </c>
      <c r="H43" s="334">
        <v>0</v>
      </c>
      <c r="I43" s="335">
        <f t="shared" si="1"/>
        <v>0</v>
      </c>
      <c r="J43" s="336">
        <f>I43*'Cash-flow BASE'!$D$56/12</f>
        <v>0</v>
      </c>
      <c r="L43" s="338">
        <v>46357</v>
      </c>
      <c r="M43" s="334">
        <v>0</v>
      </c>
      <c r="N43" s="335">
        <f t="shared" si="2"/>
        <v>0</v>
      </c>
      <c r="O43" s="336">
        <f>N43*'Cash-flow BASE'!$D$57/12</f>
        <v>0</v>
      </c>
      <c r="Q43" s="338">
        <v>46357</v>
      </c>
      <c r="R43" s="334">
        <v>0</v>
      </c>
      <c r="S43" s="335">
        <f t="shared" si="3"/>
        <v>0</v>
      </c>
      <c r="T43" s="336">
        <f>S43*'Cash-flow BASE'!$D$58/12</f>
        <v>0</v>
      </c>
    </row>
    <row r="44" spans="2:20" ht="14.1">
      <c r="B44" s="333">
        <v>46388</v>
      </c>
      <c r="C44" s="334">
        <v>0</v>
      </c>
      <c r="D44" s="335">
        <f t="shared" si="0"/>
        <v>0</v>
      </c>
      <c r="E44" s="336">
        <f>D44*'Cash-flow BASE'!$D$55/12</f>
        <v>0</v>
      </c>
      <c r="G44" s="333">
        <v>46388</v>
      </c>
      <c r="H44" s="334">
        <v>0</v>
      </c>
      <c r="I44" s="335">
        <f t="shared" si="1"/>
        <v>0</v>
      </c>
      <c r="J44" s="336">
        <f>I44*'Cash-flow BASE'!$D$56/12</f>
        <v>0</v>
      </c>
      <c r="L44" s="333">
        <v>46388</v>
      </c>
      <c r="M44" s="334">
        <v>0</v>
      </c>
      <c r="N44" s="335">
        <f t="shared" si="2"/>
        <v>0</v>
      </c>
      <c r="O44" s="336">
        <f>N44*'Cash-flow BASE'!$D$57/12</f>
        <v>0</v>
      </c>
      <c r="Q44" s="333">
        <v>46388</v>
      </c>
      <c r="R44" s="334">
        <v>0</v>
      </c>
      <c r="S44" s="335">
        <f t="shared" si="3"/>
        <v>0</v>
      </c>
      <c r="T44" s="336">
        <f>S44*'Cash-flow BASE'!$D$58/12</f>
        <v>0</v>
      </c>
    </row>
    <row r="45" spans="2:20" ht="14.1">
      <c r="B45" s="338">
        <v>46419</v>
      </c>
      <c r="C45" s="334">
        <v>0</v>
      </c>
      <c r="D45" s="335">
        <f t="shared" si="0"/>
        <v>0</v>
      </c>
      <c r="E45" s="336">
        <f>D45*'Cash-flow BASE'!$D$55/12</f>
        <v>0</v>
      </c>
      <c r="G45" s="338">
        <v>46419</v>
      </c>
      <c r="H45" s="334">
        <v>0</v>
      </c>
      <c r="I45" s="335">
        <f t="shared" si="1"/>
        <v>0</v>
      </c>
      <c r="J45" s="336">
        <f>I45*'Cash-flow BASE'!$D$56/12</f>
        <v>0</v>
      </c>
      <c r="L45" s="338">
        <v>46419</v>
      </c>
      <c r="M45" s="334">
        <v>0</v>
      </c>
      <c r="N45" s="335">
        <f t="shared" si="2"/>
        <v>0</v>
      </c>
      <c r="O45" s="336">
        <f>N45*'Cash-flow BASE'!$D$57/12</f>
        <v>0</v>
      </c>
      <c r="Q45" s="338">
        <v>46419</v>
      </c>
      <c r="R45" s="334">
        <v>0</v>
      </c>
      <c r="S45" s="335">
        <f t="shared" si="3"/>
        <v>0</v>
      </c>
      <c r="T45" s="336">
        <f>S45*'Cash-flow BASE'!$D$58/12</f>
        <v>0</v>
      </c>
    </row>
    <row r="46" spans="2:20" ht="14.1">
      <c r="B46" s="338">
        <v>46447</v>
      </c>
      <c r="C46" s="334">
        <v>0</v>
      </c>
      <c r="D46" s="335">
        <f t="shared" si="0"/>
        <v>0</v>
      </c>
      <c r="E46" s="336">
        <f>D46*'Cash-flow BASE'!$D$55/12</f>
        <v>0</v>
      </c>
      <c r="G46" s="338">
        <v>46447</v>
      </c>
      <c r="H46" s="334">
        <v>0</v>
      </c>
      <c r="I46" s="335">
        <f t="shared" si="1"/>
        <v>0</v>
      </c>
      <c r="J46" s="336">
        <f>I46*'Cash-flow BASE'!$D$56/12</f>
        <v>0</v>
      </c>
      <c r="L46" s="338">
        <v>46447</v>
      </c>
      <c r="M46" s="334">
        <v>0</v>
      </c>
      <c r="N46" s="335">
        <f t="shared" si="2"/>
        <v>0</v>
      </c>
      <c r="O46" s="336">
        <f>N46*'Cash-flow BASE'!$D$57/12</f>
        <v>0</v>
      </c>
      <c r="Q46" s="338">
        <v>46447</v>
      </c>
      <c r="R46" s="334">
        <v>0</v>
      </c>
      <c r="S46" s="335">
        <f t="shared" si="3"/>
        <v>0</v>
      </c>
      <c r="T46" s="336">
        <f>S46*'Cash-flow BASE'!$D$58/12</f>
        <v>0</v>
      </c>
    </row>
    <row r="47" spans="2:20" ht="14.1">
      <c r="B47" s="338">
        <v>46478</v>
      </c>
      <c r="C47" s="334">
        <v>0</v>
      </c>
      <c r="D47" s="335">
        <f t="shared" si="0"/>
        <v>0</v>
      </c>
      <c r="E47" s="336">
        <f>D47*'Cash-flow BASE'!$D$55/12</f>
        <v>0</v>
      </c>
      <c r="G47" s="338">
        <v>46478</v>
      </c>
      <c r="H47" s="334">
        <v>0</v>
      </c>
      <c r="I47" s="335">
        <f t="shared" si="1"/>
        <v>0</v>
      </c>
      <c r="J47" s="336">
        <f>I47*'Cash-flow BASE'!$D$56/12</f>
        <v>0</v>
      </c>
      <c r="L47" s="338">
        <v>46478</v>
      </c>
      <c r="M47" s="334">
        <v>0</v>
      </c>
      <c r="N47" s="335">
        <f t="shared" si="2"/>
        <v>0</v>
      </c>
      <c r="O47" s="336">
        <f>N47*'Cash-flow BASE'!$D$57/12</f>
        <v>0</v>
      </c>
      <c r="Q47" s="338">
        <v>46478</v>
      </c>
      <c r="R47" s="334">
        <v>0</v>
      </c>
      <c r="S47" s="335">
        <f t="shared" si="3"/>
        <v>0</v>
      </c>
      <c r="T47" s="336">
        <f>S47*'Cash-flow BASE'!$D$58/12</f>
        <v>0</v>
      </c>
    </row>
    <row r="48" spans="2:20" ht="14.1">
      <c r="B48" s="338">
        <v>46508</v>
      </c>
      <c r="C48" s="334">
        <v>0</v>
      </c>
      <c r="D48" s="335">
        <f t="shared" si="0"/>
        <v>0</v>
      </c>
      <c r="E48" s="336">
        <f>D48*'Cash-flow BASE'!$D$55/12</f>
        <v>0</v>
      </c>
      <c r="G48" s="338">
        <v>46508</v>
      </c>
      <c r="H48" s="334">
        <v>0</v>
      </c>
      <c r="I48" s="335">
        <f t="shared" si="1"/>
        <v>0</v>
      </c>
      <c r="J48" s="336">
        <f>I48*'Cash-flow BASE'!$D$56/12</f>
        <v>0</v>
      </c>
      <c r="L48" s="338">
        <v>46508</v>
      </c>
      <c r="M48" s="334">
        <v>0</v>
      </c>
      <c r="N48" s="335">
        <f t="shared" si="2"/>
        <v>0</v>
      </c>
      <c r="O48" s="336">
        <f>N48*'Cash-flow BASE'!$D$57/12</f>
        <v>0</v>
      </c>
      <c r="Q48" s="338">
        <v>46508</v>
      </c>
      <c r="R48" s="334">
        <v>0</v>
      </c>
      <c r="S48" s="335">
        <f t="shared" si="3"/>
        <v>0</v>
      </c>
      <c r="T48" s="336">
        <f>S48*'Cash-flow BASE'!$D$58/12</f>
        <v>0</v>
      </c>
    </row>
    <row r="49" spans="2:20" ht="14.1">
      <c r="B49" s="339">
        <v>46539</v>
      </c>
      <c r="C49" s="334">
        <v>0</v>
      </c>
      <c r="D49" s="335">
        <f t="shared" si="0"/>
        <v>0</v>
      </c>
      <c r="E49" s="336">
        <f>D49*'Cash-flow BASE'!$D$55/12</f>
        <v>0</v>
      </c>
      <c r="G49" s="339">
        <v>46539</v>
      </c>
      <c r="H49" s="334">
        <v>0</v>
      </c>
      <c r="I49" s="335">
        <f t="shared" si="1"/>
        <v>0</v>
      </c>
      <c r="J49" s="336">
        <f>I49*'Cash-flow BASE'!$D$56/12</f>
        <v>0</v>
      </c>
      <c r="L49" s="339">
        <v>46539</v>
      </c>
      <c r="M49" s="334">
        <v>0</v>
      </c>
      <c r="N49" s="335">
        <f t="shared" si="2"/>
        <v>0</v>
      </c>
      <c r="O49" s="336">
        <f>N49*'Cash-flow BASE'!$D$57/12</f>
        <v>0</v>
      </c>
      <c r="Q49" s="339">
        <v>46539</v>
      </c>
      <c r="R49" s="334">
        <v>0</v>
      </c>
      <c r="S49" s="335">
        <f t="shared" si="3"/>
        <v>0</v>
      </c>
      <c r="T49" s="336">
        <f>S49*'Cash-flow BASE'!$D$58/12</f>
        <v>0</v>
      </c>
    </row>
    <row r="50" spans="2:20" ht="14.1">
      <c r="B50" s="338">
        <v>46569</v>
      </c>
      <c r="C50" s="334">
        <v>0</v>
      </c>
      <c r="D50" s="335">
        <f t="shared" si="0"/>
        <v>0</v>
      </c>
      <c r="E50" s="336">
        <f>D50*'Cash-flow BASE'!$D$55/12</f>
        <v>0</v>
      </c>
      <c r="G50" s="338">
        <v>46569</v>
      </c>
      <c r="H50" s="334">
        <v>0</v>
      </c>
      <c r="I50" s="335">
        <f t="shared" si="1"/>
        <v>0</v>
      </c>
      <c r="J50" s="336">
        <f>I50*'Cash-flow BASE'!$D$56/12</f>
        <v>0</v>
      </c>
      <c r="L50" s="338">
        <v>46569</v>
      </c>
      <c r="M50" s="334">
        <v>0</v>
      </c>
      <c r="N50" s="335">
        <f t="shared" si="2"/>
        <v>0</v>
      </c>
      <c r="O50" s="336">
        <f>N50*'Cash-flow BASE'!$D$57/12</f>
        <v>0</v>
      </c>
      <c r="Q50" s="338">
        <v>46569</v>
      </c>
      <c r="R50" s="334">
        <v>0</v>
      </c>
      <c r="S50" s="335">
        <f t="shared" si="3"/>
        <v>0</v>
      </c>
      <c r="T50" s="336">
        <f>S50*'Cash-flow BASE'!$D$58/12</f>
        <v>0</v>
      </c>
    </row>
    <row r="51" spans="2:20" ht="14.1">
      <c r="B51" s="338">
        <v>46600</v>
      </c>
      <c r="C51" s="334">
        <v>0</v>
      </c>
      <c r="D51" s="335">
        <f t="shared" si="0"/>
        <v>0</v>
      </c>
      <c r="E51" s="336">
        <f>D51*'Cash-flow BASE'!$D$55/12</f>
        <v>0</v>
      </c>
      <c r="G51" s="338">
        <v>46600</v>
      </c>
      <c r="H51" s="334">
        <v>0</v>
      </c>
      <c r="I51" s="335">
        <f t="shared" si="1"/>
        <v>0</v>
      </c>
      <c r="J51" s="336">
        <f>I51*'Cash-flow BASE'!$D$56/12</f>
        <v>0</v>
      </c>
      <c r="L51" s="338">
        <v>46600</v>
      </c>
      <c r="M51" s="334">
        <v>0</v>
      </c>
      <c r="N51" s="335">
        <f t="shared" si="2"/>
        <v>0</v>
      </c>
      <c r="O51" s="336">
        <f>N51*'Cash-flow BASE'!$D$57/12</f>
        <v>0</v>
      </c>
      <c r="Q51" s="338">
        <v>46600</v>
      </c>
      <c r="R51" s="334">
        <v>0</v>
      </c>
      <c r="S51" s="335">
        <f t="shared" si="3"/>
        <v>0</v>
      </c>
      <c r="T51" s="336">
        <f>S51*'Cash-flow BASE'!$D$58/12</f>
        <v>0</v>
      </c>
    </row>
    <row r="52" spans="2:20" ht="14.1">
      <c r="B52" s="338">
        <v>46631</v>
      </c>
      <c r="C52" s="334">
        <v>0</v>
      </c>
      <c r="D52" s="335">
        <f t="shared" si="0"/>
        <v>0</v>
      </c>
      <c r="E52" s="336">
        <f>D52*'Cash-flow BASE'!$D$55/12</f>
        <v>0</v>
      </c>
      <c r="G52" s="338">
        <v>46631</v>
      </c>
      <c r="H52" s="334">
        <v>0</v>
      </c>
      <c r="I52" s="335">
        <f t="shared" si="1"/>
        <v>0</v>
      </c>
      <c r="J52" s="336">
        <f>I52*'Cash-flow BASE'!$D$56/12</f>
        <v>0</v>
      </c>
      <c r="L52" s="338">
        <v>46631</v>
      </c>
      <c r="M52" s="334">
        <v>0</v>
      </c>
      <c r="N52" s="335">
        <f t="shared" si="2"/>
        <v>0</v>
      </c>
      <c r="O52" s="336">
        <f>N52*'Cash-flow BASE'!$D$57/12</f>
        <v>0</v>
      </c>
      <c r="Q52" s="338">
        <v>46631</v>
      </c>
      <c r="R52" s="334">
        <v>0</v>
      </c>
      <c r="S52" s="335">
        <f t="shared" si="3"/>
        <v>0</v>
      </c>
      <c r="T52" s="336">
        <f>S52*'Cash-flow BASE'!$D$58/12</f>
        <v>0</v>
      </c>
    </row>
    <row r="53" spans="2:20" ht="14.1">
      <c r="B53" s="338">
        <v>46661</v>
      </c>
      <c r="C53" s="334">
        <v>0</v>
      </c>
      <c r="D53" s="335">
        <f t="shared" si="0"/>
        <v>0</v>
      </c>
      <c r="E53" s="336">
        <f>D53*'Cash-flow BASE'!$D$55/12</f>
        <v>0</v>
      </c>
      <c r="G53" s="338">
        <v>46661</v>
      </c>
      <c r="H53" s="334">
        <v>0</v>
      </c>
      <c r="I53" s="335">
        <f t="shared" si="1"/>
        <v>0</v>
      </c>
      <c r="J53" s="336">
        <f>I53*'Cash-flow BASE'!$D$56/12</f>
        <v>0</v>
      </c>
      <c r="L53" s="338">
        <v>46661</v>
      </c>
      <c r="M53" s="334">
        <v>0</v>
      </c>
      <c r="N53" s="335">
        <f t="shared" si="2"/>
        <v>0</v>
      </c>
      <c r="O53" s="336">
        <f>N53*'Cash-flow BASE'!$D$57/12</f>
        <v>0</v>
      </c>
      <c r="Q53" s="338">
        <v>46661</v>
      </c>
      <c r="R53" s="334">
        <v>0</v>
      </c>
      <c r="S53" s="335">
        <f t="shared" si="3"/>
        <v>0</v>
      </c>
      <c r="T53" s="336">
        <f>S53*'Cash-flow BASE'!$D$58/12</f>
        <v>0</v>
      </c>
    </row>
    <row r="54" spans="2:20" ht="14.1">
      <c r="B54" s="338">
        <v>46692</v>
      </c>
      <c r="C54" s="334">
        <v>0</v>
      </c>
      <c r="D54" s="335">
        <f t="shared" si="0"/>
        <v>0</v>
      </c>
      <c r="E54" s="336">
        <f>D54*'Cash-flow BASE'!$D$55/12</f>
        <v>0</v>
      </c>
      <c r="G54" s="338">
        <v>46692</v>
      </c>
      <c r="H54" s="334">
        <v>0</v>
      </c>
      <c r="I54" s="335">
        <f t="shared" si="1"/>
        <v>0</v>
      </c>
      <c r="J54" s="336">
        <f>I54*'Cash-flow BASE'!$D$56/12</f>
        <v>0</v>
      </c>
      <c r="L54" s="338">
        <v>46692</v>
      </c>
      <c r="M54" s="334">
        <v>0</v>
      </c>
      <c r="N54" s="335">
        <f t="shared" si="2"/>
        <v>0</v>
      </c>
      <c r="O54" s="336">
        <f>N54*'Cash-flow BASE'!$D$57/12</f>
        <v>0</v>
      </c>
      <c r="Q54" s="338">
        <v>46692</v>
      </c>
      <c r="R54" s="334">
        <v>0</v>
      </c>
      <c r="S54" s="335">
        <f t="shared" si="3"/>
        <v>0</v>
      </c>
      <c r="T54" s="336">
        <f>S54*'Cash-flow BASE'!$D$58/12</f>
        <v>0</v>
      </c>
    </row>
    <row r="55" spans="2:20" ht="14.1">
      <c r="B55" s="338">
        <v>46722</v>
      </c>
      <c r="C55" s="334">
        <v>0</v>
      </c>
      <c r="D55" s="335">
        <f t="shared" si="0"/>
        <v>0</v>
      </c>
      <c r="E55" s="336">
        <f>D55*'Cash-flow BASE'!$D$55/12</f>
        <v>0</v>
      </c>
      <c r="G55" s="338">
        <v>46722</v>
      </c>
      <c r="H55" s="334">
        <v>0</v>
      </c>
      <c r="I55" s="335">
        <f t="shared" si="1"/>
        <v>0</v>
      </c>
      <c r="J55" s="336">
        <f>I55*'Cash-flow BASE'!$D$56/12</f>
        <v>0</v>
      </c>
      <c r="L55" s="338">
        <v>46722</v>
      </c>
      <c r="M55" s="334">
        <v>0</v>
      </c>
      <c r="N55" s="335">
        <f t="shared" si="2"/>
        <v>0</v>
      </c>
      <c r="O55" s="336">
        <f>N55*'Cash-flow BASE'!$D$57/12</f>
        <v>0</v>
      </c>
      <c r="Q55" s="338">
        <v>46722</v>
      </c>
      <c r="R55" s="334">
        <v>0</v>
      </c>
      <c r="S55" s="335">
        <f t="shared" si="3"/>
        <v>0</v>
      </c>
      <c r="T55" s="336">
        <f>S55*'Cash-flow BASE'!$D$58/12</f>
        <v>0</v>
      </c>
    </row>
    <row r="56" spans="2:20" ht="14.1">
      <c r="B56" s="333">
        <v>46753</v>
      </c>
      <c r="C56" s="334">
        <v>0</v>
      </c>
      <c r="D56" s="335">
        <f t="shared" si="0"/>
        <v>0</v>
      </c>
      <c r="E56" s="336">
        <f>D56*'Cash-flow BASE'!$D$55/12</f>
        <v>0</v>
      </c>
      <c r="G56" s="333">
        <v>46753</v>
      </c>
      <c r="H56" s="334">
        <v>0</v>
      </c>
      <c r="I56" s="335">
        <f t="shared" si="1"/>
        <v>0</v>
      </c>
      <c r="J56" s="336">
        <f>I56*'Cash-flow BASE'!$D$56/12</f>
        <v>0</v>
      </c>
      <c r="L56" s="333">
        <v>46753</v>
      </c>
      <c r="M56" s="334">
        <v>0</v>
      </c>
      <c r="N56" s="335">
        <f t="shared" si="2"/>
        <v>0</v>
      </c>
      <c r="O56" s="336">
        <f>N56*'Cash-flow BASE'!$D$57/12</f>
        <v>0</v>
      </c>
      <c r="Q56" s="333">
        <v>46753</v>
      </c>
      <c r="R56" s="334">
        <v>0</v>
      </c>
      <c r="S56" s="335">
        <f t="shared" si="3"/>
        <v>0</v>
      </c>
      <c r="T56" s="336">
        <f>S56*'Cash-flow BASE'!$D$58/12</f>
        <v>0</v>
      </c>
    </row>
    <row r="57" spans="2:20" ht="14.1">
      <c r="B57" s="338">
        <v>46784</v>
      </c>
      <c r="C57" s="334">
        <v>0</v>
      </c>
      <c r="D57" s="335">
        <f t="shared" si="0"/>
        <v>0</v>
      </c>
      <c r="E57" s="336">
        <f>D57*'Cash-flow BASE'!$D$55/12</f>
        <v>0</v>
      </c>
      <c r="G57" s="338">
        <v>46784</v>
      </c>
      <c r="H57" s="334">
        <v>0</v>
      </c>
      <c r="I57" s="335">
        <f t="shared" si="1"/>
        <v>0</v>
      </c>
      <c r="J57" s="336">
        <f>I57*'Cash-flow BASE'!$D$56/12</f>
        <v>0</v>
      </c>
      <c r="L57" s="338">
        <v>46784</v>
      </c>
      <c r="M57" s="334">
        <v>0</v>
      </c>
      <c r="N57" s="335">
        <f t="shared" si="2"/>
        <v>0</v>
      </c>
      <c r="O57" s="336">
        <f>N57*'Cash-flow BASE'!$D$57/12</f>
        <v>0</v>
      </c>
      <c r="Q57" s="338">
        <v>46784</v>
      </c>
      <c r="R57" s="334">
        <v>0</v>
      </c>
      <c r="S57" s="335">
        <f t="shared" si="3"/>
        <v>0</v>
      </c>
      <c r="T57" s="336">
        <f>S57*'Cash-flow BASE'!$D$58/12</f>
        <v>0</v>
      </c>
    </row>
    <row r="58" spans="2:20" ht="14.1">
      <c r="B58" s="338">
        <v>46813</v>
      </c>
      <c r="C58" s="334">
        <v>0</v>
      </c>
      <c r="D58" s="335">
        <f t="shared" si="0"/>
        <v>0</v>
      </c>
      <c r="E58" s="336">
        <f>D58*'Cash-flow BASE'!$D$55/12</f>
        <v>0</v>
      </c>
      <c r="G58" s="338">
        <v>46813</v>
      </c>
      <c r="H58" s="334">
        <v>0</v>
      </c>
      <c r="I58" s="335">
        <f t="shared" si="1"/>
        <v>0</v>
      </c>
      <c r="J58" s="336">
        <f>I58*'Cash-flow BASE'!$D$56/12</f>
        <v>0</v>
      </c>
      <c r="L58" s="338">
        <v>46813</v>
      </c>
      <c r="M58" s="334">
        <v>0</v>
      </c>
      <c r="N58" s="335">
        <f t="shared" si="2"/>
        <v>0</v>
      </c>
      <c r="O58" s="336">
        <f>N58*'Cash-flow BASE'!$D$57/12</f>
        <v>0</v>
      </c>
      <c r="Q58" s="338">
        <v>46813</v>
      </c>
      <c r="R58" s="334">
        <v>0</v>
      </c>
      <c r="S58" s="335">
        <f t="shared" si="3"/>
        <v>0</v>
      </c>
      <c r="T58" s="336">
        <f>S58*'Cash-flow BASE'!$D$58/12</f>
        <v>0</v>
      </c>
    </row>
    <row r="59" spans="2:20" ht="14.1">
      <c r="B59" s="338">
        <v>46844</v>
      </c>
      <c r="C59" s="334">
        <v>0</v>
      </c>
      <c r="D59" s="335">
        <f t="shared" si="0"/>
        <v>0</v>
      </c>
      <c r="E59" s="336">
        <f>D59*'Cash-flow BASE'!$D$55/12</f>
        <v>0</v>
      </c>
      <c r="G59" s="338">
        <v>46844</v>
      </c>
      <c r="H59" s="334">
        <v>0</v>
      </c>
      <c r="I59" s="335">
        <f t="shared" si="1"/>
        <v>0</v>
      </c>
      <c r="J59" s="336">
        <f>I59*'Cash-flow BASE'!$D$56/12</f>
        <v>0</v>
      </c>
      <c r="L59" s="338">
        <v>46844</v>
      </c>
      <c r="M59" s="334">
        <v>0</v>
      </c>
      <c r="N59" s="335">
        <f t="shared" si="2"/>
        <v>0</v>
      </c>
      <c r="O59" s="336">
        <f>N59*'Cash-flow BASE'!$D$57/12</f>
        <v>0</v>
      </c>
      <c r="Q59" s="338">
        <v>46844</v>
      </c>
      <c r="R59" s="334">
        <v>0</v>
      </c>
      <c r="S59" s="335">
        <f t="shared" si="3"/>
        <v>0</v>
      </c>
      <c r="T59" s="336">
        <f>S59*'Cash-flow BASE'!$D$58/12</f>
        <v>0</v>
      </c>
    </row>
    <row r="60" spans="2:20" ht="14.1">
      <c r="B60" s="338">
        <v>46874</v>
      </c>
      <c r="C60" s="334">
        <v>0</v>
      </c>
      <c r="D60" s="335">
        <f t="shared" si="0"/>
        <v>0</v>
      </c>
      <c r="E60" s="336">
        <f>D60*'Cash-flow BASE'!$D$55/12</f>
        <v>0</v>
      </c>
      <c r="G60" s="338">
        <v>46874</v>
      </c>
      <c r="H60" s="334">
        <v>0</v>
      </c>
      <c r="I60" s="335">
        <f t="shared" si="1"/>
        <v>0</v>
      </c>
      <c r="J60" s="336">
        <f>I60*'Cash-flow BASE'!$D$56/12</f>
        <v>0</v>
      </c>
      <c r="L60" s="338">
        <v>46874</v>
      </c>
      <c r="M60" s="334">
        <v>0</v>
      </c>
      <c r="N60" s="335">
        <f t="shared" si="2"/>
        <v>0</v>
      </c>
      <c r="O60" s="336">
        <f>N60*'Cash-flow BASE'!$D$57/12</f>
        <v>0</v>
      </c>
      <c r="Q60" s="338">
        <v>46874</v>
      </c>
      <c r="R60" s="334">
        <v>0</v>
      </c>
      <c r="S60" s="335">
        <f t="shared" si="3"/>
        <v>0</v>
      </c>
      <c r="T60" s="336">
        <f>S60*'Cash-flow BASE'!$D$58/12</f>
        <v>0</v>
      </c>
    </row>
    <row r="61" spans="2:20" ht="14.1">
      <c r="B61" s="339">
        <v>46905</v>
      </c>
      <c r="C61" s="334">
        <v>0</v>
      </c>
      <c r="D61" s="335">
        <f t="shared" si="0"/>
        <v>0</v>
      </c>
      <c r="E61" s="336">
        <f>D61*'Cash-flow BASE'!$D$55/12</f>
        <v>0</v>
      </c>
      <c r="G61" s="339">
        <v>46905</v>
      </c>
      <c r="H61" s="334">
        <v>0</v>
      </c>
      <c r="I61" s="335">
        <f t="shared" si="1"/>
        <v>0</v>
      </c>
      <c r="J61" s="336">
        <f>I61*'Cash-flow BASE'!$D$56/12</f>
        <v>0</v>
      </c>
      <c r="L61" s="339">
        <v>46905</v>
      </c>
      <c r="M61" s="334">
        <v>0</v>
      </c>
      <c r="N61" s="335">
        <f t="shared" si="2"/>
        <v>0</v>
      </c>
      <c r="O61" s="336">
        <f>N61*'Cash-flow BASE'!$D$57/12</f>
        <v>0</v>
      </c>
      <c r="Q61" s="339">
        <v>46905</v>
      </c>
      <c r="R61" s="334">
        <v>0</v>
      </c>
      <c r="S61" s="335">
        <f t="shared" si="3"/>
        <v>0</v>
      </c>
      <c r="T61" s="336">
        <f>S61*'Cash-flow BASE'!$D$58/12</f>
        <v>0</v>
      </c>
    </row>
    <row r="62" spans="2:20" ht="14.1">
      <c r="B62" s="338">
        <v>46935</v>
      </c>
      <c r="C62" s="334">
        <v>0</v>
      </c>
      <c r="D62" s="335">
        <f t="shared" si="0"/>
        <v>0</v>
      </c>
      <c r="E62" s="336">
        <f>D62*'Cash-flow BASE'!$D$55/12</f>
        <v>0</v>
      </c>
      <c r="G62" s="338">
        <v>46935</v>
      </c>
      <c r="H62" s="334">
        <v>0</v>
      </c>
      <c r="I62" s="335">
        <f t="shared" si="1"/>
        <v>0</v>
      </c>
      <c r="J62" s="336">
        <f>I62*'Cash-flow BASE'!$D$56/12</f>
        <v>0</v>
      </c>
      <c r="L62" s="338">
        <v>46935</v>
      </c>
      <c r="M62" s="334">
        <v>0</v>
      </c>
      <c r="N62" s="335">
        <f t="shared" si="2"/>
        <v>0</v>
      </c>
      <c r="O62" s="336">
        <f>N62*'Cash-flow BASE'!$D$57/12</f>
        <v>0</v>
      </c>
      <c r="Q62" s="338">
        <v>46935</v>
      </c>
      <c r="R62" s="334">
        <v>0</v>
      </c>
      <c r="S62" s="335">
        <f t="shared" si="3"/>
        <v>0</v>
      </c>
      <c r="T62" s="336">
        <f>S62*'Cash-flow BASE'!$D$58/12</f>
        <v>0</v>
      </c>
    </row>
    <row r="63" spans="2:20" ht="14.1">
      <c r="B63" s="338">
        <v>46966</v>
      </c>
      <c r="C63" s="334">
        <v>0</v>
      </c>
      <c r="D63" s="335">
        <f t="shared" si="0"/>
        <v>0</v>
      </c>
      <c r="E63" s="336">
        <f>D63*'Cash-flow BASE'!$D$55/12</f>
        <v>0</v>
      </c>
      <c r="G63" s="338">
        <v>46966</v>
      </c>
      <c r="H63" s="334">
        <v>0</v>
      </c>
      <c r="I63" s="335">
        <f t="shared" si="1"/>
        <v>0</v>
      </c>
      <c r="J63" s="336">
        <f>I63*'Cash-flow BASE'!$D$56/12</f>
        <v>0</v>
      </c>
      <c r="L63" s="338">
        <v>46966</v>
      </c>
      <c r="M63" s="334">
        <v>0</v>
      </c>
      <c r="N63" s="335">
        <f t="shared" si="2"/>
        <v>0</v>
      </c>
      <c r="O63" s="336">
        <f>N63*'Cash-flow BASE'!$D$57/12</f>
        <v>0</v>
      </c>
      <c r="Q63" s="338">
        <v>46966</v>
      </c>
      <c r="R63" s="334">
        <v>0</v>
      </c>
      <c r="S63" s="335">
        <f t="shared" si="3"/>
        <v>0</v>
      </c>
      <c r="T63" s="336">
        <f>S63*'Cash-flow BASE'!$D$58/12</f>
        <v>0</v>
      </c>
    </row>
    <row r="64" spans="2:20" ht="14.1">
      <c r="B64" s="338">
        <v>46997</v>
      </c>
      <c r="C64" s="334">
        <v>0</v>
      </c>
      <c r="D64" s="335">
        <f t="shared" si="0"/>
        <v>0</v>
      </c>
      <c r="E64" s="336">
        <f>D64*'Cash-flow BASE'!$D$55/12</f>
        <v>0</v>
      </c>
      <c r="G64" s="338">
        <v>46997</v>
      </c>
      <c r="H64" s="334">
        <v>0</v>
      </c>
      <c r="I64" s="335">
        <f t="shared" si="1"/>
        <v>0</v>
      </c>
      <c r="J64" s="336">
        <f>I64*'Cash-flow BASE'!$D$56/12</f>
        <v>0</v>
      </c>
      <c r="L64" s="338">
        <v>46997</v>
      </c>
      <c r="M64" s="334">
        <v>0</v>
      </c>
      <c r="N64" s="335">
        <f t="shared" si="2"/>
        <v>0</v>
      </c>
      <c r="O64" s="336">
        <f>N64*'Cash-flow BASE'!$D$57/12</f>
        <v>0</v>
      </c>
      <c r="Q64" s="338">
        <v>46997</v>
      </c>
      <c r="R64" s="334">
        <v>0</v>
      </c>
      <c r="S64" s="335">
        <f t="shared" si="3"/>
        <v>0</v>
      </c>
      <c r="T64" s="336">
        <f>S64*'Cash-flow BASE'!$D$58/12</f>
        <v>0</v>
      </c>
    </row>
    <row r="65" spans="2:20" ht="14.1">
      <c r="B65" s="338">
        <v>47027</v>
      </c>
      <c r="C65" s="334">
        <v>0</v>
      </c>
      <c r="D65" s="335">
        <f t="shared" si="0"/>
        <v>0</v>
      </c>
      <c r="E65" s="336">
        <f>D65*'Cash-flow BASE'!$D$55/12</f>
        <v>0</v>
      </c>
      <c r="G65" s="338">
        <v>47027</v>
      </c>
      <c r="H65" s="334">
        <v>0</v>
      </c>
      <c r="I65" s="335">
        <f t="shared" si="1"/>
        <v>0</v>
      </c>
      <c r="J65" s="336">
        <f>I65*'Cash-flow BASE'!$D$56/12</f>
        <v>0</v>
      </c>
      <c r="L65" s="338">
        <v>47027</v>
      </c>
      <c r="M65" s="334">
        <v>0</v>
      </c>
      <c r="N65" s="335">
        <f t="shared" si="2"/>
        <v>0</v>
      </c>
      <c r="O65" s="336">
        <f>N65*'Cash-flow BASE'!$D$57/12</f>
        <v>0</v>
      </c>
      <c r="Q65" s="338">
        <v>47027</v>
      </c>
      <c r="R65" s="334">
        <v>0</v>
      </c>
      <c r="S65" s="335">
        <f t="shared" si="3"/>
        <v>0</v>
      </c>
      <c r="T65" s="336">
        <f>S65*'Cash-flow BASE'!$D$58/12</f>
        <v>0</v>
      </c>
    </row>
    <row r="66" spans="2:20" ht="14.1">
      <c r="B66" s="338">
        <v>47058</v>
      </c>
      <c r="C66" s="334">
        <v>0</v>
      </c>
      <c r="D66" s="335">
        <f t="shared" si="0"/>
        <v>0</v>
      </c>
      <c r="E66" s="336">
        <f>D66*'Cash-flow BASE'!$D$55/12</f>
        <v>0</v>
      </c>
      <c r="G66" s="338">
        <v>47058</v>
      </c>
      <c r="H66" s="334">
        <v>0</v>
      </c>
      <c r="I66" s="335">
        <f t="shared" si="1"/>
        <v>0</v>
      </c>
      <c r="J66" s="336">
        <f>I66*'Cash-flow BASE'!$D$56/12</f>
        <v>0</v>
      </c>
      <c r="L66" s="338">
        <v>47058</v>
      </c>
      <c r="M66" s="334">
        <v>0</v>
      </c>
      <c r="N66" s="335">
        <f t="shared" si="2"/>
        <v>0</v>
      </c>
      <c r="O66" s="336">
        <f>N66*'Cash-flow BASE'!$D$57/12</f>
        <v>0</v>
      </c>
      <c r="Q66" s="338">
        <v>47058</v>
      </c>
      <c r="R66" s="334">
        <v>0</v>
      </c>
      <c r="S66" s="335">
        <f t="shared" si="3"/>
        <v>0</v>
      </c>
      <c r="T66" s="336">
        <f>S66*'Cash-flow BASE'!$D$58/12</f>
        <v>0</v>
      </c>
    </row>
    <row r="67" spans="2:20" ht="14.1">
      <c r="B67" s="338">
        <v>47088</v>
      </c>
      <c r="C67" s="334">
        <v>0</v>
      </c>
      <c r="D67" s="335">
        <f t="shared" si="0"/>
        <v>0</v>
      </c>
      <c r="E67" s="336">
        <f>D67*'Cash-flow BASE'!$D$55/12</f>
        <v>0</v>
      </c>
      <c r="G67" s="338">
        <v>47088</v>
      </c>
      <c r="H67" s="334">
        <v>0</v>
      </c>
      <c r="I67" s="335">
        <f t="shared" si="1"/>
        <v>0</v>
      </c>
      <c r="J67" s="336">
        <f>I67*'Cash-flow BASE'!$D$56/12</f>
        <v>0</v>
      </c>
      <c r="L67" s="338">
        <v>47088</v>
      </c>
      <c r="M67" s="334">
        <v>0</v>
      </c>
      <c r="N67" s="335">
        <f t="shared" si="2"/>
        <v>0</v>
      </c>
      <c r="O67" s="336">
        <f>N67*'Cash-flow BASE'!$D$57/12</f>
        <v>0</v>
      </c>
      <c r="Q67" s="338">
        <v>47088</v>
      </c>
      <c r="R67" s="334">
        <v>0</v>
      </c>
      <c r="S67" s="335">
        <f t="shared" si="3"/>
        <v>0</v>
      </c>
      <c r="T67" s="336">
        <f>S67*'Cash-flow BASE'!$D$58/12</f>
        <v>0</v>
      </c>
    </row>
    <row r="68" spans="2:20" ht="14.1">
      <c r="B68" s="333">
        <v>47119</v>
      </c>
      <c r="C68" s="334">
        <v>0</v>
      </c>
      <c r="D68" s="335">
        <f t="shared" si="0"/>
        <v>0</v>
      </c>
      <c r="E68" s="336">
        <f>D68*'Cash-flow BASE'!$D$55/12</f>
        <v>0</v>
      </c>
      <c r="G68" s="333">
        <v>47119</v>
      </c>
      <c r="H68" s="334">
        <v>0</v>
      </c>
      <c r="I68" s="335">
        <f t="shared" si="1"/>
        <v>0</v>
      </c>
      <c r="J68" s="336">
        <f>I68*'Cash-flow BASE'!$D$56/12</f>
        <v>0</v>
      </c>
      <c r="L68" s="333">
        <v>47119</v>
      </c>
      <c r="M68" s="334">
        <v>0</v>
      </c>
      <c r="N68" s="335">
        <f t="shared" si="2"/>
        <v>0</v>
      </c>
      <c r="O68" s="336">
        <f>N68*'Cash-flow BASE'!$D$57/12</f>
        <v>0</v>
      </c>
      <c r="Q68" s="333">
        <v>47119</v>
      </c>
      <c r="R68" s="334">
        <v>0</v>
      </c>
      <c r="S68" s="335">
        <f t="shared" si="3"/>
        <v>0</v>
      </c>
      <c r="T68" s="336">
        <f>S68*'Cash-flow BASE'!$D$58/12</f>
        <v>0</v>
      </c>
    </row>
    <row r="69" spans="2:20" ht="14.1">
      <c r="B69" s="338">
        <v>47150</v>
      </c>
      <c r="C69" s="334">
        <v>0</v>
      </c>
      <c r="D69" s="335">
        <f t="shared" si="0"/>
        <v>0</v>
      </c>
      <c r="E69" s="336">
        <f>D69*'Cash-flow BASE'!$D$55/12</f>
        <v>0</v>
      </c>
      <c r="G69" s="338">
        <v>47150</v>
      </c>
      <c r="H69" s="334">
        <v>0</v>
      </c>
      <c r="I69" s="335">
        <f t="shared" si="1"/>
        <v>0</v>
      </c>
      <c r="J69" s="336">
        <f>I69*'Cash-flow BASE'!$D$56/12</f>
        <v>0</v>
      </c>
      <c r="L69" s="338">
        <v>47150</v>
      </c>
      <c r="M69" s="334">
        <v>0</v>
      </c>
      <c r="N69" s="335">
        <f t="shared" si="2"/>
        <v>0</v>
      </c>
      <c r="O69" s="336">
        <f>N69*'Cash-flow BASE'!$D$57/12</f>
        <v>0</v>
      </c>
      <c r="Q69" s="338">
        <v>47150</v>
      </c>
      <c r="R69" s="334">
        <v>0</v>
      </c>
      <c r="S69" s="335">
        <f t="shared" si="3"/>
        <v>0</v>
      </c>
      <c r="T69" s="336">
        <f>S69*'Cash-flow BASE'!$D$58/12</f>
        <v>0</v>
      </c>
    </row>
    <row r="70" spans="2:20" ht="14.1">
      <c r="B70" s="338">
        <v>47178</v>
      </c>
      <c r="C70" s="334">
        <v>0</v>
      </c>
      <c r="D70" s="335">
        <f t="shared" si="0"/>
        <v>0</v>
      </c>
      <c r="E70" s="336">
        <f>D70*'Cash-flow BASE'!$D$55/12</f>
        <v>0</v>
      </c>
      <c r="G70" s="338">
        <v>47178</v>
      </c>
      <c r="H70" s="334">
        <v>0</v>
      </c>
      <c r="I70" s="335">
        <f t="shared" si="1"/>
        <v>0</v>
      </c>
      <c r="J70" s="336">
        <f>I70*'Cash-flow BASE'!$D$56/12</f>
        <v>0</v>
      </c>
      <c r="L70" s="338">
        <v>47178</v>
      </c>
      <c r="M70" s="334">
        <v>0</v>
      </c>
      <c r="N70" s="335">
        <f t="shared" si="2"/>
        <v>0</v>
      </c>
      <c r="O70" s="336">
        <f>N70*'Cash-flow BASE'!$D$57/12</f>
        <v>0</v>
      </c>
      <c r="Q70" s="338">
        <v>47178</v>
      </c>
      <c r="R70" s="334">
        <v>0</v>
      </c>
      <c r="S70" s="335">
        <f t="shared" si="3"/>
        <v>0</v>
      </c>
      <c r="T70" s="336">
        <f>S70*'Cash-flow BASE'!$D$58/12</f>
        <v>0</v>
      </c>
    </row>
    <row r="71" spans="2:20" ht="14.1">
      <c r="B71" s="338">
        <v>47209</v>
      </c>
      <c r="C71" s="334">
        <v>0</v>
      </c>
      <c r="D71" s="335">
        <f t="shared" si="0"/>
        <v>0</v>
      </c>
      <c r="E71" s="336">
        <f>D71*'Cash-flow BASE'!$D$55/12</f>
        <v>0</v>
      </c>
      <c r="G71" s="338">
        <v>47209</v>
      </c>
      <c r="H71" s="334">
        <v>0</v>
      </c>
      <c r="I71" s="335">
        <f t="shared" si="1"/>
        <v>0</v>
      </c>
      <c r="J71" s="336">
        <f>I71*'Cash-flow BASE'!$D$56/12</f>
        <v>0</v>
      </c>
      <c r="L71" s="338">
        <v>47209</v>
      </c>
      <c r="M71" s="334">
        <v>0</v>
      </c>
      <c r="N71" s="335">
        <f t="shared" si="2"/>
        <v>0</v>
      </c>
      <c r="O71" s="336">
        <f>N71*'Cash-flow BASE'!$D$57/12</f>
        <v>0</v>
      </c>
      <c r="Q71" s="338">
        <v>47209</v>
      </c>
      <c r="R71" s="334">
        <v>0</v>
      </c>
      <c r="S71" s="335">
        <f t="shared" si="3"/>
        <v>0</v>
      </c>
      <c r="T71" s="336">
        <f>S71*'Cash-flow BASE'!$D$58/12</f>
        <v>0</v>
      </c>
    </row>
    <row r="72" spans="2:20" ht="14.1">
      <c r="B72" s="338">
        <v>47239</v>
      </c>
      <c r="C72" s="334">
        <v>0</v>
      </c>
      <c r="D72" s="335">
        <f t="shared" si="0"/>
        <v>0</v>
      </c>
      <c r="E72" s="336">
        <f>D72*'Cash-flow BASE'!$D$55/12</f>
        <v>0</v>
      </c>
      <c r="G72" s="338">
        <v>47239</v>
      </c>
      <c r="H72" s="334">
        <v>0</v>
      </c>
      <c r="I72" s="335">
        <f t="shared" si="1"/>
        <v>0</v>
      </c>
      <c r="J72" s="336">
        <f>I72*'Cash-flow BASE'!$D$56/12</f>
        <v>0</v>
      </c>
      <c r="L72" s="338">
        <v>47239</v>
      </c>
      <c r="M72" s="334">
        <v>0</v>
      </c>
      <c r="N72" s="335">
        <f t="shared" si="2"/>
        <v>0</v>
      </c>
      <c r="O72" s="336">
        <f>N72*'Cash-flow BASE'!$D$57/12</f>
        <v>0</v>
      </c>
      <c r="Q72" s="338">
        <v>47239</v>
      </c>
      <c r="R72" s="334">
        <v>0</v>
      </c>
      <c r="S72" s="335">
        <f t="shared" si="3"/>
        <v>0</v>
      </c>
      <c r="T72" s="336">
        <f>S72*'Cash-flow BASE'!$D$58/12</f>
        <v>0</v>
      </c>
    </row>
    <row r="73" spans="2:20" ht="14.1">
      <c r="B73" s="339">
        <v>47270</v>
      </c>
      <c r="C73" s="334">
        <v>0</v>
      </c>
      <c r="D73" s="335">
        <f t="shared" si="0"/>
        <v>0</v>
      </c>
      <c r="E73" s="336">
        <f>D73*'Cash-flow BASE'!$D$55/12</f>
        <v>0</v>
      </c>
      <c r="G73" s="339">
        <v>47270</v>
      </c>
      <c r="H73" s="334">
        <v>0</v>
      </c>
      <c r="I73" s="335">
        <f t="shared" si="1"/>
        <v>0</v>
      </c>
      <c r="J73" s="336">
        <f>I73*'Cash-flow BASE'!$D$56/12</f>
        <v>0</v>
      </c>
      <c r="L73" s="339">
        <v>47270</v>
      </c>
      <c r="M73" s="334">
        <v>0</v>
      </c>
      <c r="N73" s="335">
        <f t="shared" si="2"/>
        <v>0</v>
      </c>
      <c r="O73" s="336">
        <f>N73*'Cash-flow BASE'!$D$57/12</f>
        <v>0</v>
      </c>
      <c r="Q73" s="339">
        <v>47270</v>
      </c>
      <c r="R73" s="334">
        <v>0</v>
      </c>
      <c r="S73" s="335">
        <f t="shared" si="3"/>
        <v>0</v>
      </c>
      <c r="T73" s="336">
        <f>S73*'Cash-flow BASE'!$D$58/12</f>
        <v>0</v>
      </c>
    </row>
    <row r="74" spans="2:20" ht="14.1">
      <c r="B74" s="338">
        <v>47300</v>
      </c>
      <c r="C74" s="334">
        <v>0</v>
      </c>
      <c r="D74" s="335">
        <f t="shared" si="0"/>
        <v>0</v>
      </c>
      <c r="E74" s="336">
        <f>D74*'Cash-flow BASE'!$D$55/12</f>
        <v>0</v>
      </c>
      <c r="G74" s="338">
        <v>47300</v>
      </c>
      <c r="H74" s="334">
        <v>0</v>
      </c>
      <c r="I74" s="335">
        <f t="shared" si="1"/>
        <v>0</v>
      </c>
      <c r="J74" s="336">
        <f>I74*'Cash-flow BASE'!$D$56/12</f>
        <v>0</v>
      </c>
      <c r="L74" s="338">
        <v>47300</v>
      </c>
      <c r="M74" s="334">
        <v>0</v>
      </c>
      <c r="N74" s="335">
        <f t="shared" si="2"/>
        <v>0</v>
      </c>
      <c r="O74" s="336">
        <f>N74*'Cash-flow BASE'!$D$57/12</f>
        <v>0</v>
      </c>
      <c r="Q74" s="338">
        <v>47300</v>
      </c>
      <c r="R74" s="334">
        <v>0</v>
      </c>
      <c r="S74" s="335">
        <f t="shared" si="3"/>
        <v>0</v>
      </c>
      <c r="T74" s="336">
        <f>S74*'Cash-flow BASE'!$D$58/12</f>
        <v>0</v>
      </c>
    </row>
    <row r="75" spans="2:20" ht="14.1">
      <c r="B75" s="338">
        <v>47331</v>
      </c>
      <c r="C75" s="334">
        <v>0</v>
      </c>
      <c r="D75" s="335">
        <f t="shared" si="0"/>
        <v>0</v>
      </c>
      <c r="E75" s="336">
        <f>D75*'Cash-flow BASE'!$D$55/12</f>
        <v>0</v>
      </c>
      <c r="G75" s="338">
        <v>47331</v>
      </c>
      <c r="H75" s="334">
        <v>0</v>
      </c>
      <c r="I75" s="335">
        <f t="shared" si="1"/>
        <v>0</v>
      </c>
      <c r="J75" s="336">
        <f>I75*'Cash-flow BASE'!$D$56/12</f>
        <v>0</v>
      </c>
      <c r="L75" s="338">
        <v>47331</v>
      </c>
      <c r="M75" s="334">
        <v>0</v>
      </c>
      <c r="N75" s="335">
        <f t="shared" si="2"/>
        <v>0</v>
      </c>
      <c r="O75" s="336">
        <f>N75*'Cash-flow BASE'!$D$57/12</f>
        <v>0</v>
      </c>
      <c r="Q75" s="338">
        <v>47331</v>
      </c>
      <c r="R75" s="334">
        <v>0</v>
      </c>
      <c r="S75" s="335">
        <f t="shared" si="3"/>
        <v>0</v>
      </c>
      <c r="T75" s="336">
        <f>S75*'Cash-flow BASE'!$D$58/12</f>
        <v>0</v>
      </c>
    </row>
    <row r="76" spans="2:20" ht="14.1">
      <c r="B76" s="338">
        <v>47362</v>
      </c>
      <c r="C76" s="334">
        <v>0</v>
      </c>
      <c r="D76" s="335">
        <f t="shared" si="0"/>
        <v>0</v>
      </c>
      <c r="E76" s="336">
        <f>D76*'Cash-flow BASE'!$D$55/12</f>
        <v>0</v>
      </c>
      <c r="G76" s="338">
        <v>47362</v>
      </c>
      <c r="H76" s="334">
        <v>0</v>
      </c>
      <c r="I76" s="335">
        <f t="shared" si="1"/>
        <v>0</v>
      </c>
      <c r="J76" s="336">
        <f>I76*'Cash-flow BASE'!$D$56/12</f>
        <v>0</v>
      </c>
      <c r="L76" s="338">
        <v>47362</v>
      </c>
      <c r="M76" s="334">
        <v>0</v>
      </c>
      <c r="N76" s="335">
        <f t="shared" si="2"/>
        <v>0</v>
      </c>
      <c r="O76" s="336">
        <f>N76*'Cash-flow BASE'!$D$57/12</f>
        <v>0</v>
      </c>
      <c r="Q76" s="338">
        <v>47362</v>
      </c>
      <c r="R76" s="334">
        <v>0</v>
      </c>
      <c r="S76" s="335">
        <f t="shared" si="3"/>
        <v>0</v>
      </c>
      <c r="T76" s="336">
        <f>S76*'Cash-flow BASE'!$D$58/12</f>
        <v>0</v>
      </c>
    </row>
    <row r="77" spans="2:20" ht="14.1">
      <c r="B77" s="338">
        <v>47392</v>
      </c>
      <c r="C77" s="334">
        <v>0</v>
      </c>
      <c r="D77" s="335">
        <f t="shared" si="0"/>
        <v>0</v>
      </c>
      <c r="E77" s="336">
        <f>D77*'Cash-flow BASE'!$D$55/12</f>
        <v>0</v>
      </c>
      <c r="G77" s="338">
        <v>47392</v>
      </c>
      <c r="H77" s="334">
        <v>0</v>
      </c>
      <c r="I77" s="335">
        <f t="shared" si="1"/>
        <v>0</v>
      </c>
      <c r="J77" s="336">
        <f>I77*'Cash-flow BASE'!$D$56/12</f>
        <v>0</v>
      </c>
      <c r="L77" s="338">
        <v>47392</v>
      </c>
      <c r="M77" s="334">
        <v>0</v>
      </c>
      <c r="N77" s="335">
        <f t="shared" si="2"/>
        <v>0</v>
      </c>
      <c r="O77" s="336">
        <f>N77*'Cash-flow BASE'!$D$57/12</f>
        <v>0</v>
      </c>
      <c r="Q77" s="338">
        <v>47392</v>
      </c>
      <c r="R77" s="334">
        <v>0</v>
      </c>
      <c r="S77" s="335">
        <f t="shared" si="3"/>
        <v>0</v>
      </c>
      <c r="T77" s="336">
        <f>S77*'Cash-flow BASE'!$D$58/12</f>
        <v>0</v>
      </c>
    </row>
    <row r="78" spans="2:20" ht="14.1">
      <c r="B78" s="338">
        <v>47423</v>
      </c>
      <c r="C78" s="334">
        <v>0</v>
      </c>
      <c r="D78" s="335">
        <f t="shared" si="0"/>
        <v>0</v>
      </c>
      <c r="E78" s="336">
        <f>D78*'Cash-flow BASE'!$D$55/12</f>
        <v>0</v>
      </c>
      <c r="G78" s="338">
        <v>47423</v>
      </c>
      <c r="H78" s="334">
        <v>0</v>
      </c>
      <c r="I78" s="335">
        <f t="shared" si="1"/>
        <v>0</v>
      </c>
      <c r="J78" s="336">
        <f>I78*'Cash-flow BASE'!$D$56/12</f>
        <v>0</v>
      </c>
      <c r="L78" s="338">
        <v>47423</v>
      </c>
      <c r="M78" s="334">
        <v>0</v>
      </c>
      <c r="N78" s="335">
        <f t="shared" si="2"/>
        <v>0</v>
      </c>
      <c r="O78" s="336">
        <f>N78*'Cash-flow BASE'!$D$57/12</f>
        <v>0</v>
      </c>
      <c r="Q78" s="338">
        <v>47423</v>
      </c>
      <c r="R78" s="334">
        <v>0</v>
      </c>
      <c r="S78" s="335">
        <f t="shared" si="3"/>
        <v>0</v>
      </c>
      <c r="T78" s="336">
        <f>S78*'Cash-flow BASE'!$D$58/12</f>
        <v>0</v>
      </c>
    </row>
    <row r="79" spans="2:20" ht="14.1">
      <c r="B79" s="338">
        <v>47453</v>
      </c>
      <c r="C79" s="334">
        <v>0</v>
      </c>
      <c r="D79" s="335">
        <f>D78</f>
        <v>0</v>
      </c>
      <c r="E79" s="336">
        <f>D79*'Cash-flow BASE'!$D$55/12</f>
        <v>0</v>
      </c>
      <c r="G79" s="338">
        <v>47453</v>
      </c>
      <c r="H79" s="334">
        <v>0</v>
      </c>
      <c r="I79" s="335">
        <f>I78</f>
        <v>0</v>
      </c>
      <c r="J79" s="336">
        <f>I79*'Cash-flow BASE'!$D$56/12</f>
        <v>0</v>
      </c>
      <c r="L79" s="338">
        <v>47453</v>
      </c>
      <c r="M79" s="334">
        <v>0</v>
      </c>
      <c r="N79" s="335">
        <f>N78</f>
        <v>0</v>
      </c>
      <c r="O79" s="336">
        <f>N79*'Cash-flow BASE'!$D$57/12</f>
        <v>0</v>
      </c>
      <c r="Q79" s="338">
        <v>47453</v>
      </c>
      <c r="R79" s="334">
        <v>0</v>
      </c>
      <c r="S79" s="335">
        <f>S78</f>
        <v>0</v>
      </c>
      <c r="T79" s="336">
        <f>S79*'Cash-flow BASE'!$D$58/12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B1:CF164"/>
  <sheetViews>
    <sheetView workbookViewId="0">
      <pane xSplit="3" ySplit="4" topLeftCell="D5" activePane="bottomRight" state="frozen"/>
      <selection pane="bottomRight" activeCell="D5" sqref="D5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2" max="84" width="12.625" outlineLevel="1"/>
  </cols>
  <sheetData>
    <row r="1" spans="2:83">
      <c r="B1" s="230" t="s">
        <v>172</v>
      </c>
      <c r="C1" s="231">
        <v>45747</v>
      </c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 t="s">
        <v>173</v>
      </c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29"/>
      <c r="CB1" s="229"/>
      <c r="CC1" s="229"/>
      <c r="CD1" s="229"/>
      <c r="CE1" s="229"/>
    </row>
    <row r="2" spans="2:83">
      <c r="B2" s="545" t="s">
        <v>174</v>
      </c>
      <c r="C2" s="564"/>
      <c r="D2" s="495"/>
      <c r="E2" s="530">
        <v>45292</v>
      </c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8"/>
      <c r="Q2" s="531">
        <v>2025</v>
      </c>
      <c r="R2" s="567"/>
      <c r="S2" s="567"/>
      <c r="T2" s="567"/>
      <c r="U2" s="567"/>
      <c r="V2" s="567"/>
      <c r="W2" s="567"/>
      <c r="X2" s="567"/>
      <c r="Y2" s="567"/>
      <c r="Z2" s="567"/>
      <c r="AA2" s="567"/>
      <c r="AB2" s="568"/>
      <c r="AC2" s="531">
        <v>2026</v>
      </c>
      <c r="AD2" s="567"/>
      <c r="AE2" s="567"/>
      <c r="AF2" s="567"/>
      <c r="AG2" s="567"/>
      <c r="AH2" s="567"/>
      <c r="AI2" s="567"/>
      <c r="AJ2" s="567"/>
      <c r="AK2" s="567"/>
      <c r="AL2" s="567"/>
      <c r="AM2" s="567"/>
      <c r="AN2" s="568"/>
      <c r="AO2" s="530">
        <v>46388</v>
      </c>
      <c r="AP2" s="567"/>
      <c r="AQ2" s="567"/>
      <c r="AR2" s="567"/>
      <c r="AS2" s="567"/>
      <c r="AT2" s="567"/>
      <c r="AU2" s="567"/>
      <c r="AV2" s="567"/>
      <c r="AW2" s="567"/>
      <c r="AX2" s="567"/>
      <c r="AY2" s="567"/>
      <c r="AZ2" s="568"/>
      <c r="BA2" s="530">
        <v>46753</v>
      </c>
      <c r="BB2" s="567"/>
      <c r="BC2" s="567"/>
      <c r="BD2" s="567"/>
      <c r="BE2" s="567"/>
      <c r="BF2" s="567"/>
      <c r="BG2" s="567"/>
      <c r="BH2" s="567"/>
      <c r="BI2" s="567"/>
      <c r="BJ2" s="567"/>
      <c r="BK2" s="567"/>
      <c r="BL2" s="568"/>
      <c r="BM2" s="530">
        <v>47119</v>
      </c>
      <c r="BN2" s="567"/>
      <c r="BO2" s="567"/>
      <c r="BP2" s="567"/>
      <c r="BQ2" s="567"/>
      <c r="BR2" s="567"/>
      <c r="BS2" s="567"/>
      <c r="BT2" s="567"/>
      <c r="BU2" s="567"/>
      <c r="BV2" s="567"/>
      <c r="BW2" s="567"/>
      <c r="BX2" s="568"/>
      <c r="BY2" s="532" t="s">
        <v>175</v>
      </c>
      <c r="BZ2" s="564"/>
      <c r="CA2" s="229"/>
      <c r="CB2" s="229"/>
      <c r="CC2" s="229"/>
      <c r="CD2" s="229"/>
      <c r="CE2" s="229"/>
    </row>
    <row r="3" spans="2:83">
      <c r="B3" s="559"/>
      <c r="C3" s="564"/>
      <c r="D3" s="495"/>
      <c r="E3" s="233" t="str">
        <f>IFERROR(VLOOKUP(TEXT(E4,"mm.yyyy"),HMG!$B$2:$C$1001, 2, FALSE),"")</f>
        <v>zapis KS</v>
      </c>
      <c r="F3" s="233" t="str">
        <f>IFERROR(VLOOKUP(TEXT(F4,"mm.yyyy"),HMG!$B$2:$C$1001, 2, FALSE),"")</f>
        <v/>
      </c>
      <c r="G3" s="233" t="str">
        <f>IFERROR(VLOOKUP(TEXT(G4,"mm.yyyy"),HMG!$B$2:$C$1001, 2, FALSE),"")</f>
        <v/>
      </c>
      <c r="H3" s="233" t="str">
        <f>IFERROR(VLOOKUP(TEXT(H4,"mm.yyyy"),HMG!$B$2:$C$1001, 2, FALSE),"")</f>
        <v/>
      </c>
      <c r="I3" s="233" t="str">
        <f>IFERROR(VLOOKUP(TEXT(I4,"mm.yyyy"),HMG!$B$2:$C$1001, 2, FALSE),"")</f>
        <v/>
      </c>
      <c r="J3" s="233" t="str">
        <f>IFERROR(VLOOKUP(TEXT(J4,"mm.yyyy"),HMG!$B$2:$C$1001, 2, FALSE),"")</f>
        <v/>
      </c>
      <c r="K3" s="233" t="str">
        <f>IFERROR(VLOOKUP(TEXT(K4,"mm.yyyy"),HMG!$B$2:$C$1001, 2, FALSE),"")</f>
        <v/>
      </c>
      <c r="L3" s="233" t="str">
        <f>IFERROR(VLOOKUP(TEXT(L4,"mm.yyyy"),HMG!$B$2:$C$1001, 2, FALSE),"")</f>
        <v/>
      </c>
      <c r="M3" s="233" t="str">
        <f>IFERROR(VLOOKUP(TEXT(M4,"mm.yyyy"),HMG!$B$2:$C$1001, 2, FALSE),"")</f>
        <v/>
      </c>
      <c r="N3" s="233" t="str">
        <f>IFERROR(VLOOKUP(TEXT(N4,"mm.yyyy"),HMG!$B$2:$C$1001, 2, FALSE),"")</f>
        <v/>
      </c>
      <c r="O3" s="233" t="str">
        <f>IFERROR(VLOOKUP(TEXT(O4,"mm.yyyy"),HMG!$B$2:$C$1001, 2, FALSE),"")</f>
        <v/>
      </c>
      <c r="P3" s="233" t="str">
        <f>IFERROR(VLOOKUP(TEXT(P4,"mm.yyyy"),HMG!$B$2:$C$1001, 2, FALSE),"")</f>
        <v/>
      </c>
      <c r="Q3" s="233" t="str">
        <f>IFERROR(VLOOKUP(TEXT(Q4,"mm.yyyy"),HMG!$B$2:$C$1001, 2, FALSE),"")</f>
        <v>zapis KS</v>
      </c>
      <c r="R3" s="233" t="str">
        <f>IFERROR(VLOOKUP(TEXT(R4,"mm.yyyy"),HMG!$B$2:$C$1001, 2, FALSE),"")</f>
        <v/>
      </c>
      <c r="S3" s="233" t="str">
        <f>IFERROR(VLOOKUP(TEXT(S4,"mm.yyyy"),HMG!$B$2:$C$1001, 2, FALSE),"")</f>
        <v/>
      </c>
      <c r="T3" s="233" t="str">
        <f>IFERROR(VLOOKUP(TEXT(T4,"mm.yyyy"),HMG!$B$2:$C$1001, 2, FALSE),"")</f>
        <v/>
      </c>
      <c r="U3" s="233" t="str">
        <f>IFERROR(VLOOKUP(TEXT(U4,"mm.yyyy"),HMG!$B$2:$C$1001, 2, FALSE),"")</f>
        <v/>
      </c>
      <c r="V3" s="233" t="str">
        <f>IFERROR(VLOOKUP(TEXT(V4,"mm.yyyy"),HMG!$B$2:$C$1001, 2, FALSE),"")</f>
        <v/>
      </c>
      <c r="W3" s="233" t="str">
        <f>IFERROR(VLOOKUP(TEXT(W4,"mm.yyyy"),HMG!$B$2:$C$1001, 2, FALSE),"")</f>
        <v/>
      </c>
      <c r="X3" s="233" t="str">
        <f>IFERROR(VLOOKUP(TEXT(X4,"mm.yyyy"),HMG!$B$2:$C$1001, 2, FALSE),"")</f>
        <v/>
      </c>
      <c r="Y3" s="233" t="str">
        <f>IFERROR(VLOOKUP(TEXT(Y4,"mm.yyyy"),HMG!$B$2:$C$1001, 2, FALSE),"")</f>
        <v/>
      </c>
      <c r="Z3" s="233" t="str">
        <f>IFERROR(VLOOKUP(TEXT(Z4,"mm.yyyy"),HMG!$B$2:$C$1001, 2, FALSE),"")</f>
        <v/>
      </c>
      <c r="AA3" s="233" t="str">
        <f>IFERROR(VLOOKUP(TEXT(AA4,"mm.yyyy"),HMG!$B$2:$C$1001, 2, FALSE),"")</f>
        <v/>
      </c>
      <c r="AB3" s="233" t="str">
        <f>IFERROR(VLOOKUP(TEXT(AB4,"mm.yyyy"),HMG!$B$2:$C$1001, 2, FALSE),"")</f>
        <v/>
      </c>
      <c r="AC3" s="233" t="str">
        <f>IFERROR(VLOOKUP(TEXT(AC4,"mm.yyyy"),HMG!$B$2:$C$1001, 2, FALSE),"")</f>
        <v>zapis KS</v>
      </c>
      <c r="AD3" s="233" t="str">
        <f>IFERROR(VLOOKUP(TEXT(AD4,"mm.yyyy"),HMG!$B$2:$C$1001, 2, FALSE),"")</f>
        <v/>
      </c>
      <c r="AE3" s="233" t="str">
        <f>IFERROR(VLOOKUP(TEXT(AE4,"mm.yyyy"),HMG!$B$2:$C$1001, 2, FALSE),"")</f>
        <v/>
      </c>
      <c r="AF3" s="233" t="str">
        <f>IFERROR(VLOOKUP(TEXT(AF4,"mm.yyyy"),HMG!$B$2:$C$1001, 2, FALSE),"")</f>
        <v/>
      </c>
      <c r="AG3" s="233" t="str">
        <f>IFERROR(VLOOKUP(TEXT(AG4,"mm.yyyy"),HMG!$B$2:$C$1001, 2, FALSE),"")</f>
        <v/>
      </c>
      <c r="AH3" s="233" t="str">
        <f>IFERROR(VLOOKUP(TEXT(AH4,"mm.yyyy"),HMG!$B$2:$C$1001, 2, FALSE),"")</f>
        <v/>
      </c>
      <c r="AI3" s="233" t="str">
        <f>IFERROR(VLOOKUP(TEXT(AI4,"mm.yyyy"),HMG!$B$2:$C$1001, 2, FALSE),"")</f>
        <v/>
      </c>
      <c r="AJ3" s="233" t="str">
        <f>IFERROR(VLOOKUP(TEXT(AJ4,"mm.yyyy"),HMG!$B$2:$C$1001, 2, FALSE),"")</f>
        <v/>
      </c>
      <c r="AK3" s="233" t="str">
        <f>IFERROR(VLOOKUP(TEXT(AK4,"mm.yyyy"),HMG!$B$2:$C$1001, 2, FALSE),"")</f>
        <v/>
      </c>
      <c r="AL3" s="233" t="str">
        <f>IFERROR(VLOOKUP(TEXT(AL4,"mm.yyyy"),HMG!$B$2:$C$1001, 2, FALSE),"")</f>
        <v/>
      </c>
      <c r="AM3" s="233" t="str">
        <f>IFERROR(VLOOKUP(TEXT(AM4,"mm.yyyy"),HMG!$B$2:$C$1001, 2, FALSE),"")</f>
        <v/>
      </c>
      <c r="AN3" s="233" t="str">
        <f>IFERROR(VLOOKUP(TEXT(AN4,"mm.yyyy"),HMG!$B$2:$C$1001, 2, FALSE),"")</f>
        <v/>
      </c>
      <c r="AO3" s="233" t="str">
        <f>IFERROR(VLOOKUP(TEXT(AO4,"mm.yyyy"),HMG!$B$2:$C$1001, 2, FALSE),"")</f>
        <v>zapis KS</v>
      </c>
      <c r="AP3" s="233" t="str">
        <f>IFERROR(VLOOKUP(TEXT(AP4,"mm.yyyy"),HMG!$B$2:$C$1001, 2, FALSE),"")</f>
        <v/>
      </c>
      <c r="AQ3" s="233" t="str">
        <f>IFERROR(VLOOKUP(TEXT(AQ4,"mm.yyyy"),HMG!$B$2:$C$1001, 2, FALSE),"")</f>
        <v/>
      </c>
      <c r="AR3" s="233" t="str">
        <f>IFERROR(VLOOKUP(TEXT(AR4,"mm.yyyy"),HMG!$B$2:$C$1001, 2, FALSE),"")</f>
        <v/>
      </c>
      <c r="AS3" s="233" t="str">
        <f>IFERROR(VLOOKUP(TEXT(AS4,"mm.yyyy"),HMG!$B$2:$C$1001, 2, FALSE),"")</f>
        <v/>
      </c>
      <c r="AT3" s="233" t="str">
        <f>IFERROR(VLOOKUP(TEXT(AT4,"mm.yyyy"),HMG!$B$2:$C$1001, 2, FALSE),"")</f>
        <v/>
      </c>
      <c r="AU3" s="233" t="str">
        <f>IFERROR(VLOOKUP(TEXT(AU4,"mm.yyyy"),HMG!$B$2:$C$1001, 2, FALSE),"")</f>
        <v/>
      </c>
      <c r="AV3" s="233" t="str">
        <f>IFERROR(VLOOKUP(TEXT(AV4,"mm.yyyy"),HMG!$B$2:$C$1001, 2, FALSE),"")</f>
        <v/>
      </c>
      <c r="AW3" s="233" t="str">
        <f>IFERROR(VLOOKUP(TEXT(AW4,"mm.yyyy"),HMG!$B$2:$C$1001, 2, FALSE),"")</f>
        <v/>
      </c>
      <c r="AX3" s="233" t="str">
        <f>IFERROR(VLOOKUP(TEXT(AX4,"mm.yyyy"),HMG!$B$2:$C$1001, 2, FALSE),"")</f>
        <v/>
      </c>
      <c r="AY3" s="233" t="str">
        <f>IFERROR(VLOOKUP(TEXT(AY4,"mm.yyyy"),HMG!$B$2:$C$1001, 2, FALSE),"")</f>
        <v/>
      </c>
      <c r="AZ3" s="233" t="str">
        <f>IFERROR(VLOOKUP(TEXT(AZ4,"mm.yyyy"),HMG!$B$2:$C$1001, 2, FALSE),"")</f>
        <v/>
      </c>
      <c r="BA3" s="233" t="str">
        <f>IFERROR(VLOOKUP(TEXT(BA4,"mm.yyyy"),HMG!$B$2:$C$1001, 2, FALSE),"")</f>
        <v>zapis KS</v>
      </c>
      <c r="BB3" s="233" t="str">
        <f>IFERROR(VLOOKUP(TEXT(BB4,"mm.yyyy"),HMG!$B$2:$C$1001, 2, FALSE),"")</f>
        <v/>
      </c>
      <c r="BC3" s="233" t="str">
        <f>IFERROR(VLOOKUP(TEXT(BC4,"mm.yyyy"),HMG!$B$2:$C$1001, 2, FALSE),"")</f>
        <v/>
      </c>
      <c r="BD3" s="233" t="str">
        <f>IFERROR(VLOOKUP(TEXT(BD4,"mm.yyyy"),HMG!$B$2:$C$1001, 2, FALSE),"")</f>
        <v/>
      </c>
      <c r="BE3" s="233" t="str">
        <f>IFERROR(VLOOKUP(TEXT(BE4,"mm.yyyy"),HMG!$B$2:$C$1001, 2, FALSE),"")</f>
        <v/>
      </c>
      <c r="BF3" s="233" t="str">
        <f>IFERROR(VLOOKUP(TEXT(BF4,"mm.yyyy"),HMG!$B$2:$C$1001, 2, FALSE),"")</f>
        <v/>
      </c>
      <c r="BG3" s="233" t="str">
        <f>IFERROR(VLOOKUP(TEXT(BG4,"mm.yyyy"),HMG!$B$2:$C$1001, 2, FALSE),"")</f>
        <v/>
      </c>
      <c r="BH3" s="233" t="str">
        <f>IFERROR(VLOOKUP(TEXT(BH4,"mm.yyyy"),HMG!$B$2:$C$1001, 2, FALSE),"")</f>
        <v/>
      </c>
      <c r="BI3" s="233" t="str">
        <f>IFERROR(VLOOKUP(TEXT(BI4,"mm.yyyy"),HMG!$B$2:$C$1001, 2, FALSE),"")</f>
        <v/>
      </c>
      <c r="BJ3" s="233" t="str">
        <f>IFERROR(VLOOKUP(TEXT(BJ4,"mm.yyyy"),HMG!$B$2:$C$1001, 2, FALSE),"")</f>
        <v/>
      </c>
      <c r="BK3" s="233" t="str">
        <f>IFERROR(VLOOKUP(TEXT(BK4,"mm.yyyy"),HMG!$B$2:$C$1001, 2, FALSE),"")</f>
        <v/>
      </c>
      <c r="BL3" s="233" t="str">
        <f>IFERROR(VLOOKUP(TEXT(BL4,"mm.yyyy"),HMG!$B$2:$C$1001, 2, FALSE),"")</f>
        <v/>
      </c>
      <c r="BM3" s="233" t="str">
        <f>IFERROR(VLOOKUP(TEXT(BM4,"mm.yyyy"),HMG!$B$2:$C$1001, 2, FALSE),"")</f>
        <v>zapis KS</v>
      </c>
      <c r="BN3" s="233" t="str">
        <f>IFERROR(VLOOKUP(TEXT(BN4,"mm.yyyy"),HMG!$B$2:$C$1001, 2, FALSE),"")</f>
        <v/>
      </c>
      <c r="BO3" s="233" t="str">
        <f>IFERROR(VLOOKUP(TEXT(BO4,"mm.yyyy"),HMG!$B$2:$C$1001, 2, FALSE),"")</f>
        <v/>
      </c>
      <c r="BP3" s="233" t="str">
        <f>IFERROR(VLOOKUP(TEXT(BP4,"mm.yyyy"),HMG!$B$2:$C$1001, 2, FALSE),"")</f>
        <v/>
      </c>
      <c r="BQ3" s="233" t="str">
        <f>IFERROR(VLOOKUP(TEXT(BQ4,"mm.yyyy"),HMG!$B$2:$C$1001, 2, FALSE),"")</f>
        <v/>
      </c>
      <c r="BR3" s="233" t="str">
        <f>IFERROR(VLOOKUP(TEXT(BR4,"mm.yyyy"),HMG!$B$2:$C$1001, 2, FALSE),"")</f>
        <v/>
      </c>
      <c r="BS3" s="233" t="str">
        <f>IFERROR(VLOOKUP(TEXT(BS4,"mm.yyyy"),HMG!$B$2:$C$1001, 2, FALSE),"")</f>
        <v/>
      </c>
      <c r="BT3" s="233" t="str">
        <f>IFERROR(VLOOKUP(TEXT(BT4,"mm.yyyy"),HMG!$B$2:$C$1001, 2, FALSE),"")</f>
        <v/>
      </c>
      <c r="BU3" s="233" t="str">
        <f>IFERROR(VLOOKUP(TEXT(BU4,"mm.yyyy"),HMG!$B$2:$C$1001, 2, FALSE),"")</f>
        <v/>
      </c>
      <c r="BV3" s="233" t="str">
        <f>IFERROR(VLOOKUP(TEXT(BV4,"mm.yyyy"),HMG!$B$2:$C$1001, 2, FALSE),"")</f>
        <v/>
      </c>
      <c r="BW3" s="233" t="str">
        <f>IFERROR(VLOOKUP(TEXT(BW4,"mm.yyyy"),HMG!$B$2:$C$1001, 2, FALSE),"")</f>
        <v/>
      </c>
      <c r="BX3" s="233" t="str">
        <f>IFERROR(VLOOKUP(TEXT(BX4,"mm.yyyy"),HMG!$B$2:$C$1001, 2, FALSE),"")</f>
        <v/>
      </c>
      <c r="BY3" s="559"/>
      <c r="BZ3" s="564"/>
      <c r="CA3" s="229"/>
      <c r="CB3" s="229"/>
      <c r="CC3" s="229"/>
      <c r="CD3" s="229" t="s">
        <v>176</v>
      </c>
      <c r="CE3" s="229" t="s">
        <v>177</v>
      </c>
    </row>
    <row r="4" spans="2:83">
      <c r="B4" s="562"/>
      <c r="C4" s="563"/>
      <c r="D4" s="496"/>
      <c r="E4" s="234">
        <v>45292</v>
      </c>
      <c r="F4" s="234">
        <v>45323</v>
      </c>
      <c r="G4" s="234">
        <v>45352</v>
      </c>
      <c r="H4" s="234">
        <v>45383</v>
      </c>
      <c r="I4" s="234">
        <v>45413</v>
      </c>
      <c r="J4" s="234">
        <v>45444</v>
      </c>
      <c r="K4" s="234">
        <v>45474</v>
      </c>
      <c r="L4" s="234">
        <v>45505</v>
      </c>
      <c r="M4" s="234">
        <v>45536</v>
      </c>
      <c r="N4" s="234">
        <v>45566</v>
      </c>
      <c r="O4" s="234">
        <v>45597</v>
      </c>
      <c r="P4" s="234">
        <v>45627</v>
      </c>
      <c r="Q4" s="234">
        <v>45658</v>
      </c>
      <c r="R4" s="234">
        <v>45689</v>
      </c>
      <c r="S4" s="234">
        <v>45717</v>
      </c>
      <c r="T4" s="234">
        <v>45748</v>
      </c>
      <c r="U4" s="234">
        <v>45778</v>
      </c>
      <c r="V4" s="234">
        <v>45809</v>
      </c>
      <c r="W4" s="234">
        <v>45839</v>
      </c>
      <c r="X4" s="234">
        <v>45870</v>
      </c>
      <c r="Y4" s="234">
        <v>45901</v>
      </c>
      <c r="Z4" s="234">
        <v>45931</v>
      </c>
      <c r="AA4" s="234">
        <v>45962</v>
      </c>
      <c r="AB4" s="234">
        <v>45992</v>
      </c>
      <c r="AC4" s="234">
        <v>46023</v>
      </c>
      <c r="AD4" s="234">
        <v>46054</v>
      </c>
      <c r="AE4" s="234">
        <v>46082</v>
      </c>
      <c r="AF4" s="234">
        <v>46113</v>
      </c>
      <c r="AG4" s="234">
        <v>46143</v>
      </c>
      <c r="AH4" s="234">
        <v>46174</v>
      </c>
      <c r="AI4" s="234">
        <v>46204</v>
      </c>
      <c r="AJ4" s="234">
        <v>46235</v>
      </c>
      <c r="AK4" s="234">
        <v>46266</v>
      </c>
      <c r="AL4" s="234">
        <v>46296</v>
      </c>
      <c r="AM4" s="234">
        <v>46327</v>
      </c>
      <c r="AN4" s="234">
        <v>46357</v>
      </c>
      <c r="AO4" s="234">
        <v>46388</v>
      </c>
      <c r="AP4" s="234">
        <v>46419</v>
      </c>
      <c r="AQ4" s="234">
        <v>46447</v>
      </c>
      <c r="AR4" s="234">
        <v>46478</v>
      </c>
      <c r="AS4" s="234">
        <v>46508</v>
      </c>
      <c r="AT4" s="234">
        <v>46539</v>
      </c>
      <c r="AU4" s="234">
        <v>46569</v>
      </c>
      <c r="AV4" s="234">
        <v>46600</v>
      </c>
      <c r="AW4" s="234">
        <v>46631</v>
      </c>
      <c r="AX4" s="234">
        <v>46661</v>
      </c>
      <c r="AY4" s="234">
        <v>46692</v>
      </c>
      <c r="AZ4" s="234">
        <v>46722</v>
      </c>
      <c r="BA4" s="234">
        <v>46753</v>
      </c>
      <c r="BB4" s="234">
        <v>46784</v>
      </c>
      <c r="BC4" s="234">
        <v>46813</v>
      </c>
      <c r="BD4" s="234">
        <v>46844</v>
      </c>
      <c r="BE4" s="234">
        <v>46874</v>
      </c>
      <c r="BF4" s="234">
        <v>46905</v>
      </c>
      <c r="BG4" s="234">
        <v>46935</v>
      </c>
      <c r="BH4" s="234">
        <v>46966</v>
      </c>
      <c r="BI4" s="234">
        <v>46997</v>
      </c>
      <c r="BJ4" s="234">
        <v>47027</v>
      </c>
      <c r="BK4" s="234">
        <v>47058</v>
      </c>
      <c r="BL4" s="234">
        <v>47088</v>
      </c>
      <c r="BM4" s="234">
        <v>47119</v>
      </c>
      <c r="BN4" s="234">
        <v>47150</v>
      </c>
      <c r="BO4" s="234">
        <v>47178</v>
      </c>
      <c r="BP4" s="234">
        <v>47209</v>
      </c>
      <c r="BQ4" s="234">
        <v>47239</v>
      </c>
      <c r="BR4" s="234">
        <v>47270</v>
      </c>
      <c r="BS4" s="234">
        <v>47300</v>
      </c>
      <c r="BT4" s="234">
        <v>47331</v>
      </c>
      <c r="BU4" s="234">
        <v>47362</v>
      </c>
      <c r="BV4" s="234">
        <v>47392</v>
      </c>
      <c r="BW4" s="234">
        <v>47423</v>
      </c>
      <c r="BX4" s="234">
        <v>47453</v>
      </c>
      <c r="BY4" s="562"/>
      <c r="BZ4" s="563"/>
      <c r="CA4" s="229"/>
      <c r="CB4" s="229"/>
      <c r="CC4" s="229"/>
      <c r="CD4" s="229" t="s">
        <v>158</v>
      </c>
      <c r="CE4" s="229"/>
    </row>
    <row r="5" spans="2:83">
      <c r="B5" s="546" t="s">
        <v>178</v>
      </c>
      <c r="C5" s="235" t="s">
        <v>286</v>
      </c>
      <c r="D5" s="236" t="s">
        <v>180</v>
      </c>
      <c r="E5" s="237"/>
      <c r="F5" s="238"/>
      <c r="G5" s="238"/>
      <c r="H5" s="238"/>
      <c r="I5" s="238">
        <v>87324</v>
      </c>
      <c r="J5" s="238">
        <v>100000</v>
      </c>
      <c r="K5" s="238">
        <f>-3400000</f>
        <v>-3400000</v>
      </c>
      <c r="L5" s="238">
        <f>150000+4850000+1000+23500</f>
        <v>5024500</v>
      </c>
      <c r="M5" s="238">
        <v>1000</v>
      </c>
      <c r="N5" s="238">
        <v>80000</v>
      </c>
      <c r="O5" s="238">
        <f>21000+10000</f>
        <v>31000</v>
      </c>
      <c r="P5" s="238"/>
      <c r="Q5" s="238"/>
      <c r="R5" s="238"/>
      <c r="S5" s="238"/>
      <c r="T5" s="238"/>
      <c r="U5" s="238">
        <v>4016306</v>
      </c>
      <c r="V5" s="238"/>
      <c r="W5" s="238"/>
      <c r="X5" s="238">
        <v>500000</v>
      </c>
      <c r="Y5" s="238"/>
      <c r="Z5" s="238">
        <f>2000000-X5</f>
        <v>1500000</v>
      </c>
      <c r="AA5" s="238"/>
      <c r="AB5" s="238">
        <v>100000</v>
      </c>
      <c r="AC5" s="238">
        <v>250000</v>
      </c>
      <c r="AD5" s="238"/>
      <c r="AE5" s="238"/>
      <c r="AF5" s="238"/>
      <c r="AG5" s="238">
        <v>1770000</v>
      </c>
      <c r="AH5" s="238">
        <v>1850000</v>
      </c>
      <c r="AI5" s="238">
        <v>770000</v>
      </c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9"/>
      <c r="BY5" s="240">
        <f t="shared" ref="BY5:BY16" si="0">SUM(E5:BX5)</f>
        <v>12680130</v>
      </c>
      <c r="BZ5" s="533">
        <f>SUM(BY5:BY8)</f>
        <v>55277832</v>
      </c>
      <c r="CA5" s="229">
        <f>BZ5/4</f>
        <v>13819458</v>
      </c>
      <c r="CB5" s="248"/>
      <c r="CC5" s="229"/>
      <c r="CD5" s="240">
        <f t="shared" ref="CD5:CD14" si="1">SUM(H5:CC5)</f>
        <v>94457550</v>
      </c>
      <c r="CE5" s="533">
        <f>SUM(CD5:CD8)</f>
        <v>179652954.22938907</v>
      </c>
    </row>
    <row r="6" spans="2:83">
      <c r="B6" s="569"/>
      <c r="C6" s="241" t="s">
        <v>287</v>
      </c>
      <c r="D6" s="236" t="s">
        <v>180</v>
      </c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>
        <v>3994008</v>
      </c>
      <c r="Q6" s="238">
        <f t="shared" ref="Q6:R6" si="2">Q5</f>
        <v>0</v>
      </c>
      <c r="R6" s="238">
        <f t="shared" si="2"/>
        <v>0</v>
      </c>
      <c r="S6" s="238"/>
      <c r="T6" s="238">
        <v>560000</v>
      </c>
      <c r="U6" s="238">
        <v>19083694</v>
      </c>
      <c r="V6" s="238">
        <f>V5</f>
        <v>0</v>
      </c>
      <c r="W6" s="238"/>
      <c r="X6" s="238"/>
      <c r="Y6" s="238"/>
      <c r="Z6" s="238"/>
      <c r="AA6" s="238"/>
      <c r="AB6" s="238">
        <f t="shared" ref="AB6:AL6" si="3">AB5*4</f>
        <v>400000</v>
      </c>
      <c r="AC6" s="238">
        <f t="shared" si="3"/>
        <v>1000000</v>
      </c>
      <c r="AD6" s="238">
        <f t="shared" si="3"/>
        <v>0</v>
      </c>
      <c r="AE6" s="238">
        <f t="shared" si="3"/>
        <v>0</v>
      </c>
      <c r="AF6" s="238">
        <f t="shared" si="3"/>
        <v>0</v>
      </c>
      <c r="AG6" s="238">
        <f t="shared" si="3"/>
        <v>7080000</v>
      </c>
      <c r="AH6" s="238">
        <f t="shared" si="3"/>
        <v>7400000</v>
      </c>
      <c r="AI6" s="238">
        <f t="shared" si="3"/>
        <v>3080000</v>
      </c>
      <c r="AJ6" s="238">
        <f t="shared" si="3"/>
        <v>0</v>
      </c>
      <c r="AK6" s="238">
        <f t="shared" si="3"/>
        <v>0</v>
      </c>
      <c r="AL6" s="238">
        <f t="shared" si="3"/>
        <v>0</v>
      </c>
      <c r="AM6" s="238"/>
      <c r="AN6" s="238"/>
      <c r="AO6" s="238"/>
      <c r="AP6" s="238"/>
      <c r="AQ6" s="238"/>
      <c r="AR6" s="238"/>
      <c r="AS6" s="238"/>
      <c r="AT6" s="238"/>
      <c r="AU6" s="238"/>
      <c r="AV6" s="238"/>
      <c r="AW6" s="238"/>
      <c r="AX6" s="238"/>
      <c r="AY6" s="238"/>
      <c r="AZ6" s="238"/>
      <c r="BA6" s="238"/>
      <c r="BB6" s="238"/>
      <c r="BC6" s="238"/>
      <c r="BD6" s="238"/>
      <c r="BE6" s="238"/>
      <c r="BF6" s="238"/>
      <c r="BG6" s="238"/>
      <c r="BH6" s="238"/>
      <c r="BI6" s="238"/>
      <c r="BJ6" s="238"/>
      <c r="BK6" s="238"/>
      <c r="BL6" s="238"/>
      <c r="BM6" s="238"/>
      <c r="BN6" s="238"/>
      <c r="BO6" s="238"/>
      <c r="BP6" s="238"/>
      <c r="BQ6" s="238"/>
      <c r="BR6" s="238"/>
      <c r="BS6" s="238"/>
      <c r="BT6" s="238"/>
      <c r="BU6" s="238"/>
      <c r="BV6" s="238"/>
      <c r="BW6" s="238"/>
      <c r="BX6" s="235"/>
      <c r="BY6" s="240">
        <f t="shared" si="0"/>
        <v>42597702</v>
      </c>
      <c r="BZ6" s="564"/>
      <c r="CA6" s="248">
        <f>BY5/BZ5</f>
        <v>0.22938906142339302</v>
      </c>
      <c r="CB6" s="248"/>
      <c r="CC6" s="229"/>
      <c r="CD6" s="240">
        <f t="shared" si="1"/>
        <v>85195404.229389057</v>
      </c>
      <c r="CE6" s="564"/>
    </row>
    <row r="7" spans="2:83">
      <c r="B7" s="569"/>
      <c r="C7" s="241" t="s">
        <v>182</v>
      </c>
      <c r="D7" s="236" t="s">
        <v>180</v>
      </c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  <c r="T7" s="238"/>
      <c r="U7" s="238"/>
      <c r="V7" s="238"/>
      <c r="W7" s="238"/>
      <c r="X7" s="238"/>
      <c r="Y7" s="238"/>
      <c r="Z7" s="238"/>
      <c r="AA7" s="238"/>
      <c r="AB7" s="238"/>
      <c r="AC7" s="238"/>
      <c r="AD7" s="238"/>
      <c r="AE7" s="238"/>
      <c r="AF7" s="238"/>
      <c r="AG7" s="238"/>
      <c r="AH7" s="238"/>
      <c r="AI7" s="238"/>
      <c r="AJ7" s="238"/>
      <c r="AK7" s="238"/>
      <c r="AL7" s="238"/>
      <c r="AM7" s="238"/>
      <c r="AN7" s="238"/>
      <c r="AO7" s="238"/>
      <c r="AP7" s="238"/>
      <c r="AQ7" s="238"/>
      <c r="AR7" s="238"/>
      <c r="AS7" s="238"/>
      <c r="AT7" s="238"/>
      <c r="AU7" s="238"/>
      <c r="AV7" s="238"/>
      <c r="AW7" s="238"/>
      <c r="AX7" s="238"/>
      <c r="AY7" s="238"/>
      <c r="AZ7" s="238"/>
      <c r="BA7" s="238"/>
      <c r="BB7" s="238"/>
      <c r="BC7" s="238"/>
      <c r="BD7" s="238"/>
      <c r="BE7" s="238"/>
      <c r="BF7" s="238"/>
      <c r="BG7" s="238"/>
      <c r="BH7" s="238"/>
      <c r="BI7" s="238"/>
      <c r="BJ7" s="238"/>
      <c r="BK7" s="238"/>
      <c r="BL7" s="238"/>
      <c r="BM7" s="238"/>
      <c r="BN7" s="238"/>
      <c r="BO7" s="238"/>
      <c r="BP7" s="238"/>
      <c r="BQ7" s="238"/>
      <c r="BR7" s="238"/>
      <c r="BS7" s="238"/>
      <c r="BT7" s="238"/>
      <c r="BU7" s="238"/>
      <c r="BV7" s="238"/>
      <c r="BW7" s="238"/>
      <c r="BX7" s="235"/>
      <c r="BY7" s="240">
        <f t="shared" si="0"/>
        <v>0</v>
      </c>
      <c r="BZ7" s="564"/>
      <c r="CA7" s="229"/>
      <c r="CB7" s="229"/>
      <c r="CC7" s="229"/>
      <c r="CD7" s="240">
        <f t="shared" si="1"/>
        <v>0</v>
      </c>
      <c r="CE7" s="564"/>
    </row>
    <row r="8" spans="2:83">
      <c r="B8" s="570"/>
      <c r="C8" s="241" t="s">
        <v>183</v>
      </c>
      <c r="D8" s="242" t="s">
        <v>180</v>
      </c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341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1"/>
      <c r="BY8" s="244">
        <f t="shared" si="0"/>
        <v>0</v>
      </c>
      <c r="BZ8" s="563"/>
      <c r="CA8" s="229"/>
      <c r="CB8" s="229"/>
      <c r="CC8" s="229"/>
      <c r="CD8" s="244">
        <f t="shared" si="1"/>
        <v>0</v>
      </c>
      <c r="CE8" s="563"/>
    </row>
    <row r="9" spans="2:83">
      <c r="B9" s="546" t="s">
        <v>184</v>
      </c>
      <c r="C9" s="239" t="s">
        <v>185</v>
      </c>
      <c r="D9" s="236" t="s">
        <v>180</v>
      </c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9"/>
      <c r="BY9" s="240">
        <f t="shared" si="0"/>
        <v>0</v>
      </c>
      <c r="BZ9" s="533">
        <f>SUM(BY9:BY11)</f>
        <v>63561333.333333336</v>
      </c>
      <c r="CA9" s="229">
        <f>BZ5+BZ9</f>
        <v>118839165.33333334</v>
      </c>
      <c r="CB9" s="229"/>
      <c r="CC9" s="229"/>
      <c r="CD9" s="240">
        <f t="shared" si="1"/>
        <v>182400498.66666669</v>
      </c>
      <c r="CE9" s="533">
        <f>SUM(CD9:CD11)</f>
        <v>375873165.6032598</v>
      </c>
    </row>
    <row r="10" spans="2:83">
      <c r="B10" s="569"/>
      <c r="C10" s="239" t="s">
        <v>186</v>
      </c>
      <c r="D10" s="236" t="s">
        <v>180</v>
      </c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  <c r="Y10" s="238"/>
      <c r="Z10" s="238"/>
      <c r="AA10" s="238"/>
      <c r="AB10" s="238"/>
      <c r="AC10" s="238"/>
      <c r="AD10" s="238"/>
      <c r="AE10" s="238"/>
      <c r="AF10" s="238"/>
      <c r="AG10" s="238"/>
      <c r="AH10" s="238"/>
      <c r="AI10" s="238">
        <f t="shared" ref="AI10:AN10" si="4">-AI61</f>
        <v>40000</v>
      </c>
      <c r="AJ10" s="238">
        <f t="shared" si="4"/>
        <v>114666.66666666667</v>
      </c>
      <c r="AK10" s="238">
        <f t="shared" si="4"/>
        <v>189333.33333333334</v>
      </c>
      <c r="AL10" s="238">
        <f t="shared" si="4"/>
        <v>264000</v>
      </c>
      <c r="AM10" s="238">
        <f t="shared" si="4"/>
        <v>338666.66666666669</v>
      </c>
      <c r="AN10" s="238">
        <f t="shared" si="4"/>
        <v>414666.66666666669</v>
      </c>
      <c r="AO10" s="238"/>
      <c r="AP10" s="238"/>
      <c r="AQ10" s="238"/>
      <c r="AR10" s="238"/>
      <c r="AS10" s="238"/>
      <c r="AT10" s="238"/>
      <c r="AU10" s="238"/>
      <c r="AV10" s="238"/>
      <c r="AW10" s="238"/>
      <c r="AX10" s="238"/>
      <c r="AY10" s="238"/>
      <c r="AZ10" s="238"/>
      <c r="BA10" s="238"/>
      <c r="BB10" s="238"/>
      <c r="BC10" s="238"/>
      <c r="BD10" s="238"/>
      <c r="BE10" s="238"/>
      <c r="BF10" s="238"/>
      <c r="BG10" s="238"/>
      <c r="BH10" s="238"/>
      <c r="BI10" s="238"/>
      <c r="BJ10" s="238"/>
      <c r="BK10" s="238"/>
      <c r="BL10" s="238"/>
      <c r="BM10" s="238"/>
      <c r="BN10" s="238"/>
      <c r="BO10" s="238"/>
      <c r="BP10" s="238"/>
      <c r="BQ10" s="238"/>
      <c r="BR10" s="238"/>
      <c r="BS10" s="238"/>
      <c r="BT10" s="238"/>
      <c r="BU10" s="238"/>
      <c r="BV10" s="238"/>
      <c r="BW10" s="238"/>
      <c r="BX10" s="235"/>
      <c r="BY10" s="240">
        <f t="shared" si="0"/>
        <v>1361333.3333333335</v>
      </c>
      <c r="BZ10" s="564"/>
      <c r="CA10" s="229"/>
      <c r="CB10" s="229">
        <v>66350000</v>
      </c>
      <c r="CC10" s="229"/>
      <c r="CD10" s="240">
        <f t="shared" si="1"/>
        <v>69072666.666666672</v>
      </c>
      <c r="CE10" s="564"/>
    </row>
    <row r="11" spans="2:83">
      <c r="B11" s="568"/>
      <c r="C11" s="241" t="s">
        <v>187</v>
      </c>
      <c r="D11" s="242" t="s">
        <v>180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>
        <v>6000000</v>
      </c>
      <c r="AJ11" s="243">
        <v>11200000</v>
      </c>
      <c r="AK11" s="243">
        <v>11200000</v>
      </c>
      <c r="AL11" s="243">
        <v>11200000</v>
      </c>
      <c r="AM11" s="243">
        <v>11200000</v>
      </c>
      <c r="AN11" s="243">
        <v>11400000</v>
      </c>
      <c r="AO11" s="245"/>
      <c r="AP11" s="243"/>
      <c r="AQ11" s="243"/>
      <c r="AR11" s="243"/>
      <c r="AS11" s="243"/>
      <c r="AT11" s="243"/>
      <c r="AU11" s="243"/>
      <c r="AV11" s="243"/>
      <c r="AW11" s="243"/>
      <c r="AX11" s="243"/>
      <c r="AY11" s="243"/>
      <c r="AZ11" s="243"/>
      <c r="BA11" s="243"/>
      <c r="BB11" s="243"/>
      <c r="BC11" s="243"/>
      <c r="BD11" s="243"/>
      <c r="BE11" s="243"/>
      <c r="BF11" s="243"/>
      <c r="BG11" s="243"/>
      <c r="BH11" s="243"/>
      <c r="BI11" s="243"/>
      <c r="BJ11" s="243"/>
      <c r="BK11" s="243"/>
      <c r="BL11" s="243"/>
      <c r="BM11" s="243"/>
      <c r="BN11" s="243"/>
      <c r="BO11" s="243"/>
      <c r="BP11" s="243"/>
      <c r="BQ11" s="243"/>
      <c r="BR11" s="243"/>
      <c r="BS11" s="243"/>
      <c r="BT11" s="243"/>
      <c r="BU11" s="243"/>
      <c r="BV11" s="243"/>
      <c r="BW11" s="243"/>
      <c r="BX11" s="241"/>
      <c r="BY11" s="244">
        <f t="shared" si="0"/>
        <v>62200000</v>
      </c>
      <c r="BZ11" s="571"/>
      <c r="CA11" s="246">
        <f>SUM(I5:AB8)/CA9</f>
        <v>0.26992643300737196</v>
      </c>
      <c r="CB11" s="343"/>
      <c r="CC11" s="246"/>
      <c r="CD11" s="244">
        <f t="shared" si="1"/>
        <v>124400000.26992643</v>
      </c>
      <c r="CE11" s="571"/>
    </row>
    <row r="12" spans="2:83">
      <c r="B12" s="546" t="s">
        <v>188</v>
      </c>
      <c r="C12" s="235" t="s">
        <v>189</v>
      </c>
      <c r="D12" s="236" t="s">
        <v>180</v>
      </c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237"/>
      <c r="Y12" s="237"/>
      <c r="Z12" s="237"/>
      <c r="AA12" s="237"/>
      <c r="AB12" s="237"/>
      <c r="AC12" s="237"/>
      <c r="AD12" s="237"/>
      <c r="AE12" s="237"/>
      <c r="AF12" s="237"/>
      <c r="AG12" s="247"/>
      <c r="AH12" s="247"/>
      <c r="AI12" s="247"/>
      <c r="AJ12" s="237"/>
      <c r="AK12" s="237"/>
      <c r="AL12" s="237"/>
      <c r="AM12" s="237"/>
      <c r="AN12" s="247"/>
      <c r="AO12" s="247">
        <f>Businessplan_prodej!$J$18/12</f>
        <v>709678.25</v>
      </c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9"/>
      <c r="BY12" s="240">
        <f t="shared" si="0"/>
        <v>709678.25</v>
      </c>
      <c r="BZ12" s="533">
        <f>SUM(BY12:BY16)</f>
        <v>137785909.73077375</v>
      </c>
      <c r="CA12" s="248">
        <f>1-CA11</f>
        <v>0.73007356699262804</v>
      </c>
      <c r="CB12" s="326"/>
      <c r="CC12" s="229"/>
      <c r="CD12" s="240">
        <f t="shared" si="1"/>
        <v>139205266.96084732</v>
      </c>
      <c r="CE12" s="533">
        <f>SUM(CD12:CD16)</f>
        <v>409429060.96665323</v>
      </c>
    </row>
    <row r="13" spans="2:83">
      <c r="B13" s="569"/>
      <c r="C13" s="235" t="s">
        <v>190</v>
      </c>
      <c r="D13" s="236" t="s">
        <v>180</v>
      </c>
      <c r="E13" s="237"/>
      <c r="F13" s="237"/>
      <c r="G13" s="237"/>
      <c r="H13" s="237"/>
      <c r="I13" s="237"/>
      <c r="J13" s="237"/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47"/>
      <c r="AH13" s="247"/>
      <c r="AI13" s="247"/>
      <c r="AJ13" s="237"/>
      <c r="AK13" s="237"/>
      <c r="AL13" s="237"/>
      <c r="AM13" s="237"/>
      <c r="AN13" s="247"/>
      <c r="AO13" s="247">
        <f>Businessplan_prodej!$J$30+Businessplan_prodej!$N$26</f>
        <v>113098414.28571427</v>
      </c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9"/>
      <c r="BY13" s="240">
        <f t="shared" si="0"/>
        <v>113098414.28571427</v>
      </c>
      <c r="BZ13" s="564"/>
      <c r="CA13" s="248">
        <f>BZ9/CA9</f>
        <v>0.53485173137197173</v>
      </c>
      <c r="CB13" s="229"/>
      <c r="CC13" s="229"/>
      <c r="CD13" s="240">
        <f t="shared" si="1"/>
        <v>226196829.10628027</v>
      </c>
      <c r="CE13" s="564"/>
    </row>
    <row r="14" spans="2:83">
      <c r="B14" s="569"/>
      <c r="C14" s="235" t="s">
        <v>10</v>
      </c>
      <c r="D14" s="236" t="s">
        <v>191</v>
      </c>
      <c r="E14" s="238"/>
      <c r="F14" s="238"/>
      <c r="G14" s="238"/>
      <c r="H14" s="238"/>
      <c r="I14" s="238"/>
      <c r="J14" s="238"/>
      <c r="K14" s="238"/>
      <c r="L14" s="238"/>
      <c r="M14" s="238">
        <f t="shared" ref="M14:Q14" si="5">(+M24+M38)*0.21</f>
        <v>0</v>
      </c>
      <c r="N14" s="238">
        <f t="shared" si="5"/>
        <v>-2436</v>
      </c>
      <c r="O14" s="238">
        <f t="shared" si="5"/>
        <v>-5282.1074380165282</v>
      </c>
      <c r="P14" s="238">
        <f t="shared" si="5"/>
        <v>-6400.3140495867765</v>
      </c>
      <c r="Q14" s="238">
        <f t="shared" si="5"/>
        <v>-75505.586776859505</v>
      </c>
      <c r="R14" s="238">
        <f>(+R24+R38+R18)*0.21</f>
        <v>-37834.663519834707</v>
      </c>
      <c r="S14" s="238">
        <f t="shared" ref="S14:AN14" si="6">(+S24+S38)*0.21</f>
        <v>-36054.993354545455</v>
      </c>
      <c r="T14" s="238">
        <f t="shared" si="6"/>
        <v>-94318.692838016534</v>
      </c>
      <c r="U14" s="238">
        <f t="shared" si="6"/>
        <v>-138063.79283801652</v>
      </c>
      <c r="V14" s="238">
        <f t="shared" si="6"/>
        <v>-350677.92533801653</v>
      </c>
      <c r="W14" s="238">
        <f t="shared" si="6"/>
        <v>-238863.79283801652</v>
      </c>
      <c r="X14" s="238">
        <f t="shared" si="6"/>
        <v>-148393.69283801655</v>
      </c>
      <c r="Y14" s="238">
        <f t="shared" si="6"/>
        <v>-148393.69283801655</v>
      </c>
      <c r="Z14" s="238">
        <f t="shared" si="6"/>
        <v>-35518.692838016526</v>
      </c>
      <c r="AA14" s="238">
        <f t="shared" si="6"/>
        <v>-35518.692838016526</v>
      </c>
      <c r="AB14" s="238">
        <f t="shared" si="6"/>
        <v>-35518.692838016526</v>
      </c>
      <c r="AC14" s="238">
        <f t="shared" si="6"/>
        <v>-39503.125738016526</v>
      </c>
      <c r="AD14" s="238">
        <f t="shared" si="6"/>
        <v>-39503.125738016526</v>
      </c>
      <c r="AE14" s="238">
        <f t="shared" si="6"/>
        <v>-39503.125738016526</v>
      </c>
      <c r="AF14" s="238">
        <f t="shared" si="6"/>
        <v>-39503.125738016526</v>
      </c>
      <c r="AG14" s="238">
        <f t="shared" si="6"/>
        <v>-58629.925738016529</v>
      </c>
      <c r="AH14" s="238">
        <f t="shared" si="6"/>
        <v>-89706.998338016521</v>
      </c>
      <c r="AI14" s="238">
        <f t="shared" si="6"/>
        <v>-89706.998338016521</v>
      </c>
      <c r="AJ14" s="238">
        <f t="shared" si="6"/>
        <v>-89706.998338016521</v>
      </c>
      <c r="AK14" s="238">
        <f t="shared" si="6"/>
        <v>-89706.998338016521</v>
      </c>
      <c r="AL14" s="238">
        <f t="shared" si="6"/>
        <v>-89706.998338016521</v>
      </c>
      <c r="AM14" s="238">
        <f t="shared" si="6"/>
        <v>-89706.998338016521</v>
      </c>
      <c r="AN14" s="238">
        <f t="shared" si="6"/>
        <v>-97451.798338016524</v>
      </c>
      <c r="AO14" s="238"/>
      <c r="AP14" s="238"/>
      <c r="AQ14" s="238"/>
      <c r="AR14" s="238"/>
      <c r="AS14" s="238"/>
      <c r="AT14" s="238"/>
      <c r="AU14" s="238"/>
      <c r="AV14" s="238"/>
      <c r="AW14" s="238"/>
      <c r="AX14" s="238"/>
      <c r="AY14" s="238"/>
      <c r="AZ14" s="238"/>
      <c r="BA14" s="238"/>
      <c r="BB14" s="238"/>
      <c r="BC14" s="238"/>
      <c r="BD14" s="238"/>
      <c r="BE14" s="238"/>
      <c r="BF14" s="238"/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5"/>
      <c r="BY14" s="240">
        <f t="shared" si="0"/>
        <v>-2241117.5502371895</v>
      </c>
      <c r="BZ14" s="564"/>
      <c r="CA14" s="229"/>
      <c r="CB14" s="229"/>
      <c r="CC14" s="229"/>
      <c r="CD14" s="240">
        <f t="shared" si="1"/>
        <v>-4482235.100474379</v>
      </c>
      <c r="CE14" s="564"/>
    </row>
    <row r="15" spans="2:83">
      <c r="B15" s="569"/>
      <c r="C15" s="235" t="s">
        <v>10</v>
      </c>
      <c r="D15" s="236" t="s">
        <v>180</v>
      </c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>
        <f>-M14</f>
        <v>0</v>
      </c>
      <c r="P15" s="238"/>
      <c r="Q15" s="238"/>
      <c r="R15" s="238"/>
      <c r="S15" s="238"/>
      <c r="T15" s="238">
        <f t="shared" ref="T15:AN15" si="7">-R14</f>
        <v>37834.663519834707</v>
      </c>
      <c r="U15" s="238">
        <f t="shared" si="7"/>
        <v>36054.993354545455</v>
      </c>
      <c r="V15" s="238">
        <f t="shared" si="7"/>
        <v>94318.692838016534</v>
      </c>
      <c r="W15" s="238">
        <f t="shared" si="7"/>
        <v>138063.79283801652</v>
      </c>
      <c r="X15" s="238">
        <f t="shared" si="7"/>
        <v>350677.92533801653</v>
      </c>
      <c r="Y15" s="238">
        <f t="shared" si="7"/>
        <v>238863.79283801652</v>
      </c>
      <c r="Z15" s="238">
        <f t="shared" si="7"/>
        <v>148393.69283801655</v>
      </c>
      <c r="AA15" s="238">
        <f t="shared" si="7"/>
        <v>148393.69283801655</v>
      </c>
      <c r="AB15" s="238">
        <f t="shared" si="7"/>
        <v>35518.692838016526</v>
      </c>
      <c r="AC15" s="238">
        <f t="shared" si="7"/>
        <v>35518.692838016526</v>
      </c>
      <c r="AD15" s="238">
        <f t="shared" si="7"/>
        <v>35518.692838016526</v>
      </c>
      <c r="AE15" s="238">
        <f t="shared" si="7"/>
        <v>39503.125738016526</v>
      </c>
      <c r="AF15" s="238">
        <f t="shared" si="7"/>
        <v>39503.125738016526</v>
      </c>
      <c r="AG15" s="238">
        <f t="shared" si="7"/>
        <v>39503.125738016526</v>
      </c>
      <c r="AH15" s="238">
        <f t="shared" si="7"/>
        <v>39503.125738016526</v>
      </c>
      <c r="AI15" s="238">
        <f t="shared" si="7"/>
        <v>58629.925738016529</v>
      </c>
      <c r="AJ15" s="238">
        <f t="shared" si="7"/>
        <v>89706.998338016521</v>
      </c>
      <c r="AK15" s="238">
        <f t="shared" si="7"/>
        <v>89706.998338016521</v>
      </c>
      <c r="AL15" s="238">
        <f t="shared" si="7"/>
        <v>89706.998338016521</v>
      </c>
      <c r="AM15" s="238">
        <f t="shared" si="7"/>
        <v>89706.998338016521</v>
      </c>
      <c r="AN15" s="238">
        <f t="shared" si="7"/>
        <v>89706.998338016521</v>
      </c>
      <c r="AO15" s="238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38"/>
      <c r="BG15" s="238"/>
      <c r="BH15" s="238"/>
      <c r="BI15" s="238"/>
      <c r="BJ15" s="238"/>
      <c r="BK15" s="238"/>
      <c r="BL15" s="238"/>
      <c r="BM15" s="238"/>
      <c r="BN15" s="238"/>
      <c r="BO15" s="238"/>
      <c r="BP15" s="238"/>
      <c r="BQ15" s="238"/>
      <c r="BR15" s="238"/>
      <c r="BS15" s="238"/>
      <c r="BT15" s="238"/>
      <c r="BU15" s="238"/>
      <c r="BV15" s="238"/>
      <c r="BW15" s="238"/>
      <c r="BX15" s="235"/>
      <c r="BY15" s="240">
        <f t="shared" si="0"/>
        <v>1964334.7452966936</v>
      </c>
      <c r="BZ15" s="564"/>
      <c r="CA15" s="229"/>
      <c r="CB15" s="229"/>
      <c r="CC15" s="229"/>
      <c r="CD15" s="249"/>
      <c r="CE15" s="564"/>
    </row>
    <row r="16" spans="2:83">
      <c r="B16" s="568"/>
      <c r="C16" s="241" t="s">
        <v>192</v>
      </c>
      <c r="D16" s="242" t="s">
        <v>193</v>
      </c>
      <c r="E16" s="243"/>
      <c r="F16" s="243"/>
      <c r="G16" s="243"/>
      <c r="H16" s="243"/>
      <c r="I16" s="243"/>
      <c r="J16" s="243"/>
      <c r="K16" s="243">
        <f>3400000</f>
        <v>3400000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>
        <f>11526*2100-$K$16</f>
        <v>20804600</v>
      </c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>
        <f>-Businessplan_prodej!$F$47</f>
        <v>0</v>
      </c>
      <c r="AH16" s="243"/>
      <c r="AI16" s="243"/>
      <c r="AJ16" s="243"/>
      <c r="AK16" s="243"/>
      <c r="AL16" s="243"/>
      <c r="AM16" s="243"/>
      <c r="AN16" s="243"/>
      <c r="AO16" s="243">
        <f>-Businessplan_prodej!F38</f>
        <v>50000</v>
      </c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1"/>
      <c r="BY16" s="244">
        <f t="shared" si="0"/>
        <v>24254600</v>
      </c>
      <c r="BZ16" s="571"/>
      <c r="CA16" s="229"/>
      <c r="CB16" s="229"/>
      <c r="CC16" s="229"/>
      <c r="CD16" s="244">
        <f>SUM(H16:CC16)</f>
        <v>48509200</v>
      </c>
      <c r="CE16" s="571"/>
    </row>
    <row r="17" spans="2:83" ht="15.95">
      <c r="B17" s="547" t="s">
        <v>194</v>
      </c>
      <c r="C17" s="563"/>
      <c r="D17" s="250"/>
      <c r="E17" s="251">
        <f t="shared" ref="E17:BX17" si="8">SUM(E5:E16)</f>
        <v>0</v>
      </c>
      <c r="F17" s="251">
        <f t="shared" si="8"/>
        <v>0</v>
      </c>
      <c r="G17" s="251">
        <f t="shared" si="8"/>
        <v>0</v>
      </c>
      <c r="H17" s="251">
        <f t="shared" si="8"/>
        <v>0</v>
      </c>
      <c r="I17" s="251">
        <f t="shared" si="8"/>
        <v>87324</v>
      </c>
      <c r="J17" s="251">
        <f t="shared" si="8"/>
        <v>100000</v>
      </c>
      <c r="K17" s="251">
        <f t="shared" si="8"/>
        <v>0</v>
      </c>
      <c r="L17" s="251">
        <f t="shared" si="8"/>
        <v>5024500</v>
      </c>
      <c r="M17" s="251">
        <f t="shared" si="8"/>
        <v>1000</v>
      </c>
      <c r="N17" s="251">
        <f t="shared" si="8"/>
        <v>77564</v>
      </c>
      <c r="O17" s="251">
        <f t="shared" si="8"/>
        <v>25717.89256198347</v>
      </c>
      <c r="P17" s="251">
        <f t="shared" si="8"/>
        <v>3987607.6859504133</v>
      </c>
      <c r="Q17" s="251">
        <f t="shared" si="8"/>
        <v>-75505.586776859505</v>
      </c>
      <c r="R17" s="251">
        <f t="shared" si="8"/>
        <v>-37834.663519834707</v>
      </c>
      <c r="S17" s="251">
        <f t="shared" si="8"/>
        <v>-36054.993354545455</v>
      </c>
      <c r="T17" s="251">
        <f t="shared" si="8"/>
        <v>503515.97068181814</v>
      </c>
      <c r="U17" s="251">
        <f t="shared" si="8"/>
        <v>43802591.200516529</v>
      </c>
      <c r="V17" s="251">
        <f t="shared" si="8"/>
        <v>-256359.23249999998</v>
      </c>
      <c r="W17" s="251">
        <f t="shared" si="8"/>
        <v>-100800</v>
      </c>
      <c r="X17" s="251">
        <f t="shared" si="8"/>
        <v>702284.23249999993</v>
      </c>
      <c r="Y17" s="251">
        <f t="shared" si="8"/>
        <v>90470.099999999977</v>
      </c>
      <c r="Z17" s="251">
        <f t="shared" si="8"/>
        <v>1612875</v>
      </c>
      <c r="AA17" s="251">
        <f t="shared" si="8"/>
        <v>112875.00000000003</v>
      </c>
      <c r="AB17" s="251">
        <f t="shared" si="8"/>
        <v>500000</v>
      </c>
      <c r="AC17" s="251">
        <f t="shared" si="8"/>
        <v>1246015.5670999999</v>
      </c>
      <c r="AD17" s="251">
        <f t="shared" si="8"/>
        <v>-3984.4328999999998</v>
      </c>
      <c r="AE17" s="251">
        <f t="shared" si="8"/>
        <v>0</v>
      </c>
      <c r="AF17" s="251">
        <f t="shared" si="8"/>
        <v>0</v>
      </c>
      <c r="AG17" s="251">
        <f t="shared" si="8"/>
        <v>8830873.2000000011</v>
      </c>
      <c r="AH17" s="251">
        <f t="shared" si="8"/>
        <v>9199796.1274000015</v>
      </c>
      <c r="AI17" s="251">
        <f t="shared" si="8"/>
        <v>9858922.9274000004</v>
      </c>
      <c r="AJ17" s="251">
        <f t="shared" si="8"/>
        <v>11314666.666666666</v>
      </c>
      <c r="AK17" s="251">
        <f t="shared" si="8"/>
        <v>11389333.333333334</v>
      </c>
      <c r="AL17" s="251">
        <f t="shared" si="8"/>
        <v>11464000</v>
      </c>
      <c r="AM17" s="251">
        <f t="shared" si="8"/>
        <v>11538666.666666666</v>
      </c>
      <c r="AN17" s="251">
        <f t="shared" si="8"/>
        <v>11806921.866666665</v>
      </c>
      <c r="AO17" s="251">
        <f t="shared" si="8"/>
        <v>113858092.53571427</v>
      </c>
      <c r="AP17" s="251">
        <f t="shared" si="8"/>
        <v>0</v>
      </c>
      <c r="AQ17" s="251">
        <f t="shared" si="8"/>
        <v>0</v>
      </c>
      <c r="AR17" s="251">
        <f t="shared" si="8"/>
        <v>0</v>
      </c>
      <c r="AS17" s="251">
        <f t="shared" si="8"/>
        <v>0</v>
      </c>
      <c r="AT17" s="251">
        <f t="shared" si="8"/>
        <v>0</v>
      </c>
      <c r="AU17" s="251">
        <f t="shared" si="8"/>
        <v>0</v>
      </c>
      <c r="AV17" s="251">
        <f t="shared" si="8"/>
        <v>0</v>
      </c>
      <c r="AW17" s="251">
        <f t="shared" si="8"/>
        <v>0</v>
      </c>
      <c r="AX17" s="251">
        <f t="shared" si="8"/>
        <v>0</v>
      </c>
      <c r="AY17" s="251">
        <f t="shared" si="8"/>
        <v>0</v>
      </c>
      <c r="AZ17" s="251">
        <f t="shared" si="8"/>
        <v>0</v>
      </c>
      <c r="BA17" s="251">
        <f t="shared" si="8"/>
        <v>0</v>
      </c>
      <c r="BB17" s="251">
        <f t="shared" si="8"/>
        <v>0</v>
      </c>
      <c r="BC17" s="251">
        <f t="shared" si="8"/>
        <v>0</v>
      </c>
      <c r="BD17" s="251">
        <f t="shared" si="8"/>
        <v>0</v>
      </c>
      <c r="BE17" s="251">
        <f t="shared" si="8"/>
        <v>0</v>
      </c>
      <c r="BF17" s="251">
        <f t="shared" si="8"/>
        <v>0</v>
      </c>
      <c r="BG17" s="251">
        <f t="shared" si="8"/>
        <v>0</v>
      </c>
      <c r="BH17" s="251">
        <f t="shared" si="8"/>
        <v>0</v>
      </c>
      <c r="BI17" s="251">
        <f t="shared" si="8"/>
        <v>0</v>
      </c>
      <c r="BJ17" s="251">
        <f t="shared" si="8"/>
        <v>0</v>
      </c>
      <c r="BK17" s="251">
        <f t="shared" si="8"/>
        <v>0</v>
      </c>
      <c r="BL17" s="251">
        <f t="shared" si="8"/>
        <v>0</v>
      </c>
      <c r="BM17" s="251">
        <f t="shared" si="8"/>
        <v>0</v>
      </c>
      <c r="BN17" s="251">
        <f t="shared" si="8"/>
        <v>0</v>
      </c>
      <c r="BO17" s="251">
        <f t="shared" si="8"/>
        <v>0</v>
      </c>
      <c r="BP17" s="251">
        <f t="shared" si="8"/>
        <v>0</v>
      </c>
      <c r="BQ17" s="251">
        <f t="shared" si="8"/>
        <v>0</v>
      </c>
      <c r="BR17" s="251">
        <f t="shared" si="8"/>
        <v>0</v>
      </c>
      <c r="BS17" s="251">
        <f t="shared" si="8"/>
        <v>0</v>
      </c>
      <c r="BT17" s="251">
        <f t="shared" si="8"/>
        <v>0</v>
      </c>
      <c r="BU17" s="251">
        <f t="shared" si="8"/>
        <v>0</v>
      </c>
      <c r="BV17" s="251">
        <f t="shared" si="8"/>
        <v>0</v>
      </c>
      <c r="BW17" s="251">
        <f t="shared" si="8"/>
        <v>0</v>
      </c>
      <c r="BX17" s="251">
        <f t="shared" si="8"/>
        <v>0</v>
      </c>
      <c r="BY17" s="535">
        <f>BZ5+BZ9+BZ12</f>
        <v>256625075.06410709</v>
      </c>
      <c r="BZ17" s="563"/>
      <c r="CA17" s="229"/>
      <c r="CB17" s="229"/>
      <c r="CC17" s="229"/>
      <c r="CD17" s="535">
        <f>CE5+CE9+CE12</f>
        <v>964955180.7993021</v>
      </c>
      <c r="CE17" s="563"/>
    </row>
    <row r="18" spans="2:83" ht="15.95">
      <c r="B18" s="544" t="s">
        <v>195</v>
      </c>
      <c r="C18" s="252" t="s">
        <v>196</v>
      </c>
      <c r="D18" s="253"/>
      <c r="E18" s="254">
        <f t="shared" ref="E18:BY18" si="9">SUM(E19:E23)</f>
        <v>0</v>
      </c>
      <c r="F18" s="254">
        <f t="shared" si="9"/>
        <v>0</v>
      </c>
      <c r="G18" s="254">
        <f t="shared" si="9"/>
        <v>0</v>
      </c>
      <c r="H18" s="254">
        <f t="shared" si="9"/>
        <v>0</v>
      </c>
      <c r="I18" s="254">
        <f t="shared" si="9"/>
        <v>0</v>
      </c>
      <c r="J18" s="254">
        <f t="shared" si="9"/>
        <v>-100000</v>
      </c>
      <c r="K18" s="254">
        <f t="shared" si="9"/>
        <v>0</v>
      </c>
      <c r="L18" s="254">
        <f t="shared" si="9"/>
        <v>-5000000</v>
      </c>
      <c r="M18" s="254">
        <f t="shared" si="9"/>
        <v>0</v>
      </c>
      <c r="N18" s="254">
        <f t="shared" si="9"/>
        <v>0</v>
      </c>
      <c r="O18" s="254">
        <f t="shared" si="9"/>
        <v>0</v>
      </c>
      <c r="P18" s="254">
        <f t="shared" si="9"/>
        <v>0</v>
      </c>
      <c r="Q18" s="254">
        <f t="shared" si="9"/>
        <v>0</v>
      </c>
      <c r="R18" s="254">
        <f t="shared" si="9"/>
        <v>0</v>
      </c>
      <c r="S18" s="254">
        <f t="shared" si="9"/>
        <v>-849420</v>
      </c>
      <c r="T18" s="254">
        <f t="shared" si="9"/>
        <v>0</v>
      </c>
      <c r="U18" s="254">
        <f t="shared" si="9"/>
        <v>-21000000</v>
      </c>
      <c r="V18" s="254">
        <f t="shared" si="9"/>
        <v>0</v>
      </c>
      <c r="W18" s="254">
        <f t="shared" si="9"/>
        <v>0</v>
      </c>
      <c r="X18" s="254">
        <f t="shared" si="9"/>
        <v>0</v>
      </c>
      <c r="Y18" s="254">
        <f t="shared" si="9"/>
        <v>0</v>
      </c>
      <c r="Z18" s="254">
        <f t="shared" si="9"/>
        <v>0</v>
      </c>
      <c r="AA18" s="254">
        <f t="shared" si="9"/>
        <v>0</v>
      </c>
      <c r="AB18" s="254">
        <f t="shared" si="9"/>
        <v>0</v>
      </c>
      <c r="AC18" s="254">
        <f t="shared" si="9"/>
        <v>0</v>
      </c>
      <c r="AD18" s="254">
        <f t="shared" si="9"/>
        <v>0</v>
      </c>
      <c r="AE18" s="254">
        <f t="shared" si="9"/>
        <v>0</v>
      </c>
      <c r="AF18" s="254">
        <f t="shared" si="9"/>
        <v>0</v>
      </c>
      <c r="AG18" s="254">
        <f t="shared" si="9"/>
        <v>0</v>
      </c>
      <c r="AH18" s="254">
        <f t="shared" si="9"/>
        <v>0</v>
      </c>
      <c r="AI18" s="254">
        <f t="shared" si="9"/>
        <v>0</v>
      </c>
      <c r="AJ18" s="254">
        <f t="shared" si="9"/>
        <v>0</v>
      </c>
      <c r="AK18" s="254">
        <f t="shared" si="9"/>
        <v>0</v>
      </c>
      <c r="AL18" s="254">
        <f t="shared" si="9"/>
        <v>0</v>
      </c>
      <c r="AM18" s="254">
        <f t="shared" si="9"/>
        <v>0</v>
      </c>
      <c r="AN18" s="254">
        <f t="shared" si="9"/>
        <v>0</v>
      </c>
      <c r="AO18" s="254">
        <f t="shared" si="9"/>
        <v>0</v>
      </c>
      <c r="AP18" s="254">
        <f t="shared" si="9"/>
        <v>0</v>
      </c>
      <c r="AQ18" s="254">
        <f t="shared" si="9"/>
        <v>0</v>
      </c>
      <c r="AR18" s="254">
        <f t="shared" si="9"/>
        <v>0</v>
      </c>
      <c r="AS18" s="254">
        <f t="shared" si="9"/>
        <v>0</v>
      </c>
      <c r="AT18" s="254">
        <f t="shared" si="9"/>
        <v>0</v>
      </c>
      <c r="AU18" s="254">
        <f t="shared" si="9"/>
        <v>0</v>
      </c>
      <c r="AV18" s="254">
        <f t="shared" si="9"/>
        <v>0</v>
      </c>
      <c r="AW18" s="254">
        <f t="shared" si="9"/>
        <v>0</v>
      </c>
      <c r="AX18" s="254">
        <f t="shared" si="9"/>
        <v>0</v>
      </c>
      <c r="AY18" s="254">
        <f t="shared" si="9"/>
        <v>0</v>
      </c>
      <c r="AZ18" s="254">
        <f t="shared" si="9"/>
        <v>0</v>
      </c>
      <c r="BA18" s="254">
        <f t="shared" si="9"/>
        <v>0</v>
      </c>
      <c r="BB18" s="254">
        <f t="shared" si="9"/>
        <v>0</v>
      </c>
      <c r="BC18" s="254">
        <f t="shared" si="9"/>
        <v>0</v>
      </c>
      <c r="BD18" s="254">
        <f t="shared" si="9"/>
        <v>0</v>
      </c>
      <c r="BE18" s="254">
        <f t="shared" si="9"/>
        <v>0</v>
      </c>
      <c r="BF18" s="254">
        <f t="shared" si="9"/>
        <v>0</v>
      </c>
      <c r="BG18" s="254">
        <f t="shared" si="9"/>
        <v>0</v>
      </c>
      <c r="BH18" s="254">
        <f t="shared" si="9"/>
        <v>0</v>
      </c>
      <c r="BI18" s="254">
        <f t="shared" si="9"/>
        <v>0</v>
      </c>
      <c r="BJ18" s="254">
        <f t="shared" si="9"/>
        <v>0</v>
      </c>
      <c r="BK18" s="254">
        <f t="shared" si="9"/>
        <v>0</v>
      </c>
      <c r="BL18" s="254">
        <f t="shared" si="9"/>
        <v>0</v>
      </c>
      <c r="BM18" s="254">
        <f t="shared" si="9"/>
        <v>0</v>
      </c>
      <c r="BN18" s="254">
        <f t="shared" si="9"/>
        <v>0</v>
      </c>
      <c r="BO18" s="254">
        <f t="shared" si="9"/>
        <v>0</v>
      </c>
      <c r="BP18" s="254">
        <f t="shared" si="9"/>
        <v>0</v>
      </c>
      <c r="BQ18" s="254">
        <f t="shared" si="9"/>
        <v>0</v>
      </c>
      <c r="BR18" s="254">
        <f t="shared" si="9"/>
        <v>0</v>
      </c>
      <c r="BS18" s="254">
        <f t="shared" si="9"/>
        <v>0</v>
      </c>
      <c r="BT18" s="254">
        <f t="shared" si="9"/>
        <v>0</v>
      </c>
      <c r="BU18" s="254">
        <f t="shared" si="9"/>
        <v>0</v>
      </c>
      <c r="BV18" s="254">
        <f t="shared" si="9"/>
        <v>0</v>
      </c>
      <c r="BW18" s="254">
        <f t="shared" si="9"/>
        <v>0</v>
      </c>
      <c r="BX18" s="254">
        <f t="shared" si="9"/>
        <v>0</v>
      </c>
      <c r="BY18" s="255">
        <f t="shared" si="9"/>
        <v>-26949420</v>
      </c>
      <c r="BZ18" s="534">
        <f>BY18+BY24+BY27+BY35+BY38+BY48+BY54+BY62+BY70</f>
        <v>-117372859.61409269</v>
      </c>
      <c r="CA18" s="229" t="e">
        <f ca="1">BY18+K16+V16+SUM(I24:AA24)+SUM(I27:AA27)+SUM(I38:AA38)+_xludf.sum</f>
        <v>#NAME?</v>
      </c>
      <c r="CB18" s="229">
        <f>SUM(E5:AI7)+SUM(E74:AI76)</f>
        <v>33359008</v>
      </c>
      <c r="CC18" s="229"/>
      <c r="CD18" s="256" t="e">
        <f t="array" aca="1" ref="CD18" ca="1">SUM(INDEX(E18:BX18, , 1):INDEX(E18:BX18, ,MATCH($CD$4, $E$3:$BX$3,0) ))</f>
        <v>#N/A</v>
      </c>
      <c r="CE18" s="534" t="e">
        <f ca="1">CD18+CD24+CD27+CD35+CD38+CD48+CD54+CD62+CD70</f>
        <v>#N/A</v>
      </c>
    </row>
    <row r="19" spans="2:83" ht="15.95" outlineLevel="1">
      <c r="B19" s="569"/>
      <c r="C19" s="257" t="s">
        <v>197</v>
      </c>
      <c r="D19" s="258" t="s">
        <v>191</v>
      </c>
      <c r="E19" s="259"/>
      <c r="F19" s="259"/>
      <c r="G19" s="259"/>
      <c r="H19" s="259"/>
      <c r="I19" s="259"/>
      <c r="J19" s="259"/>
      <c r="K19" s="259"/>
      <c r="L19" s="259">
        <f>-5000000</f>
        <v>-5000000</v>
      </c>
      <c r="M19" s="259"/>
      <c r="N19" s="259"/>
      <c r="O19" s="259"/>
      <c r="P19" s="259"/>
      <c r="Q19" s="259"/>
      <c r="R19" s="259"/>
      <c r="S19" s="259"/>
      <c r="T19" s="259"/>
      <c r="U19" s="259">
        <f>-26000000-L19</f>
        <v>-21000000</v>
      </c>
      <c r="V19" s="259"/>
      <c r="W19" s="259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60">
        <f t="shared" ref="BY19:BY23" si="10">SUM(E19:BX19)</f>
        <v>-26000000</v>
      </c>
      <c r="BZ19" s="564"/>
      <c r="CA19" s="229"/>
      <c r="CB19" s="229"/>
      <c r="CC19" s="229"/>
      <c r="CD19" s="256" t="e">
        <f t="shared" ref="CD19:CD23" ca="1" si="11">SUM(INDEX(AC19:BX19, , 1):INDEX(AC19:BX19, ,MATCH($CD$4, $E$3:$BX$3,0) ))</f>
        <v>#N/A</v>
      </c>
      <c r="CE19" s="564"/>
    </row>
    <row r="20" spans="2:83" ht="15.95" outlineLevel="1">
      <c r="B20" s="569"/>
      <c r="C20" s="257" t="s">
        <v>198</v>
      </c>
      <c r="D20" s="258" t="s">
        <v>191</v>
      </c>
      <c r="E20" s="259"/>
      <c r="F20" s="259"/>
      <c r="G20" s="259"/>
      <c r="H20" s="259"/>
      <c r="I20" s="259"/>
      <c r="J20" s="259">
        <f>-Businessplan_prodej!F10</f>
        <v>-100000</v>
      </c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  <c r="AP20" s="259"/>
      <c r="AQ20" s="259"/>
      <c r="AR20" s="259"/>
      <c r="AS20" s="259"/>
      <c r="AT20" s="259"/>
      <c r="AU20" s="259"/>
      <c r="AV20" s="259"/>
      <c r="AW20" s="259"/>
      <c r="AX20" s="259"/>
      <c r="AY20" s="259"/>
      <c r="AZ20" s="259"/>
      <c r="BA20" s="259"/>
      <c r="BB20" s="259"/>
      <c r="BC20" s="259"/>
      <c r="BD20" s="259"/>
      <c r="BE20" s="259"/>
      <c r="BF20" s="259"/>
      <c r="BG20" s="259"/>
      <c r="BH20" s="259"/>
      <c r="BI20" s="259"/>
      <c r="BJ20" s="259"/>
      <c r="BK20" s="259"/>
      <c r="BL20" s="259"/>
      <c r="BM20" s="259"/>
      <c r="BN20" s="259"/>
      <c r="BO20" s="259"/>
      <c r="BP20" s="259"/>
      <c r="BQ20" s="259"/>
      <c r="BR20" s="259"/>
      <c r="BS20" s="259"/>
      <c r="BT20" s="259"/>
      <c r="BU20" s="259"/>
      <c r="BV20" s="259"/>
      <c r="BW20" s="259"/>
      <c r="BX20" s="259"/>
      <c r="BY20" s="260">
        <f t="shared" si="10"/>
        <v>-100000</v>
      </c>
      <c r="BZ20" s="564"/>
      <c r="CA20" s="229"/>
      <c r="CB20" s="229"/>
      <c r="CC20" s="229"/>
      <c r="CD20" s="256" t="e">
        <f t="shared" ca="1" si="11"/>
        <v>#N/A</v>
      </c>
      <c r="CE20" s="564"/>
    </row>
    <row r="21" spans="2:83" ht="15.95" outlineLevel="1">
      <c r="B21" s="569"/>
      <c r="C21" s="257" t="s">
        <v>199</v>
      </c>
      <c r="D21" s="258" t="s">
        <v>191</v>
      </c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>
        <f>-252000*1.21</f>
        <v>-304920</v>
      </c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60">
        <f t="shared" si="10"/>
        <v>-304920</v>
      </c>
      <c r="BZ21" s="564"/>
      <c r="CA21" s="229"/>
      <c r="CB21" s="229"/>
      <c r="CC21" s="229"/>
      <c r="CD21" s="256" t="e">
        <f t="shared" ca="1" si="11"/>
        <v>#N/A</v>
      </c>
      <c r="CE21" s="564"/>
    </row>
    <row r="22" spans="2:83" ht="15.95" outlineLevel="1">
      <c r="B22" s="569"/>
      <c r="C22" s="257" t="s">
        <v>200</v>
      </c>
      <c r="D22" s="258" t="s">
        <v>191</v>
      </c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>
        <f>-450000*1.21</f>
        <v>-544500</v>
      </c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59"/>
      <c r="BC22" s="259"/>
      <c r="BD22" s="259"/>
      <c r="BE22" s="259"/>
      <c r="BF22" s="259"/>
      <c r="BG22" s="259"/>
      <c r="BH22" s="259"/>
      <c r="BI22" s="259"/>
      <c r="BJ22" s="259"/>
      <c r="BK22" s="259"/>
      <c r="BL22" s="259"/>
      <c r="BM22" s="259"/>
      <c r="BN22" s="259"/>
      <c r="BO22" s="259"/>
      <c r="BP22" s="259"/>
      <c r="BQ22" s="259"/>
      <c r="BR22" s="259"/>
      <c r="BS22" s="259"/>
      <c r="BT22" s="259"/>
      <c r="BU22" s="259"/>
      <c r="BV22" s="259"/>
      <c r="BW22" s="259"/>
      <c r="BX22" s="259"/>
      <c r="BY22" s="260">
        <f t="shared" si="10"/>
        <v>-544500</v>
      </c>
      <c r="BZ22" s="564"/>
      <c r="CA22" s="229"/>
      <c r="CB22" s="229"/>
      <c r="CC22" s="229"/>
      <c r="CD22" s="256" t="e">
        <f t="shared" ca="1" si="11"/>
        <v>#N/A</v>
      </c>
      <c r="CE22" s="564"/>
    </row>
    <row r="23" spans="2:83" ht="15.95" outlineLevel="1">
      <c r="B23" s="569"/>
      <c r="C23" s="257" t="s">
        <v>201</v>
      </c>
      <c r="D23" s="261" t="s">
        <v>191</v>
      </c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259"/>
      <c r="AU23" s="259"/>
      <c r="AV23" s="259"/>
      <c r="AW23" s="259"/>
      <c r="AX23" s="259"/>
      <c r="AY23" s="259"/>
      <c r="AZ23" s="259"/>
      <c r="BA23" s="259"/>
      <c r="BB23" s="259"/>
      <c r="BC23" s="259"/>
      <c r="BD23" s="259"/>
      <c r="BE23" s="259"/>
      <c r="BF23" s="259"/>
      <c r="BG23" s="259"/>
      <c r="BH23" s="259"/>
      <c r="BI23" s="259"/>
      <c r="BJ23" s="259"/>
      <c r="BK23" s="259"/>
      <c r="BL23" s="259"/>
      <c r="BM23" s="259"/>
      <c r="BN23" s="259"/>
      <c r="BO23" s="259"/>
      <c r="BP23" s="259"/>
      <c r="BQ23" s="259"/>
      <c r="BR23" s="259"/>
      <c r="BS23" s="259"/>
      <c r="BT23" s="259"/>
      <c r="BU23" s="259"/>
      <c r="BV23" s="259"/>
      <c r="BW23" s="259"/>
      <c r="BX23" s="259"/>
      <c r="BY23" s="260">
        <f t="shared" si="10"/>
        <v>0</v>
      </c>
      <c r="BZ23" s="564"/>
      <c r="CA23" s="229"/>
      <c r="CB23" s="229"/>
      <c r="CC23" s="229"/>
      <c r="CD23" s="256" t="e">
        <f t="shared" ca="1" si="11"/>
        <v>#N/A</v>
      </c>
      <c r="CE23" s="564"/>
    </row>
    <row r="24" spans="2:83" ht="15.95">
      <c r="B24" s="569"/>
      <c r="C24" s="252" t="s">
        <v>202</v>
      </c>
      <c r="D24" s="253"/>
      <c r="E24" s="254">
        <f t="shared" ref="E24:BY24" si="12">SUM(E25:E26)</f>
        <v>0</v>
      </c>
      <c r="F24" s="254">
        <f t="shared" si="12"/>
        <v>0</v>
      </c>
      <c r="G24" s="254">
        <f t="shared" si="12"/>
        <v>0</v>
      </c>
      <c r="H24" s="254">
        <f t="shared" si="12"/>
        <v>0</v>
      </c>
      <c r="I24" s="254">
        <f t="shared" si="12"/>
        <v>0</v>
      </c>
      <c r="J24" s="254">
        <f t="shared" si="12"/>
        <v>0</v>
      </c>
      <c r="K24" s="254">
        <f t="shared" si="12"/>
        <v>0</v>
      </c>
      <c r="L24" s="254">
        <f t="shared" si="12"/>
        <v>0</v>
      </c>
      <c r="M24" s="254">
        <f t="shared" si="12"/>
        <v>0</v>
      </c>
      <c r="N24" s="254">
        <f t="shared" si="12"/>
        <v>0</v>
      </c>
      <c r="O24" s="254">
        <f t="shared" si="12"/>
        <v>0</v>
      </c>
      <c r="P24" s="254">
        <f t="shared" si="12"/>
        <v>0</v>
      </c>
      <c r="Q24" s="254">
        <f t="shared" si="12"/>
        <v>0</v>
      </c>
      <c r="R24" s="254">
        <f t="shared" si="12"/>
        <v>0</v>
      </c>
      <c r="S24" s="254">
        <f t="shared" si="12"/>
        <v>0</v>
      </c>
      <c r="T24" s="254">
        <f t="shared" si="12"/>
        <v>-280000</v>
      </c>
      <c r="U24" s="254">
        <f t="shared" si="12"/>
        <v>-420000</v>
      </c>
      <c r="V24" s="254">
        <f t="shared" si="12"/>
        <v>-700000</v>
      </c>
      <c r="W24" s="254">
        <f t="shared" si="12"/>
        <v>-900000</v>
      </c>
      <c r="X24" s="254">
        <f t="shared" si="12"/>
        <v>-537500</v>
      </c>
      <c r="Y24" s="254">
        <f t="shared" si="12"/>
        <v>-537500</v>
      </c>
      <c r="Z24" s="254">
        <f t="shared" si="12"/>
        <v>0</v>
      </c>
      <c r="AA24" s="254">
        <f t="shared" si="12"/>
        <v>0</v>
      </c>
      <c r="AB24" s="254">
        <f t="shared" si="12"/>
        <v>0</v>
      </c>
      <c r="AC24" s="254">
        <f t="shared" si="12"/>
        <v>0</v>
      </c>
      <c r="AD24" s="254">
        <f t="shared" si="12"/>
        <v>0</v>
      </c>
      <c r="AE24" s="254">
        <f t="shared" si="12"/>
        <v>0</v>
      </c>
      <c r="AF24" s="254">
        <f t="shared" si="12"/>
        <v>0</v>
      </c>
      <c r="AG24" s="254">
        <f t="shared" si="12"/>
        <v>0</v>
      </c>
      <c r="AH24" s="254">
        <f t="shared" si="12"/>
        <v>0</v>
      </c>
      <c r="AI24" s="254">
        <f t="shared" si="12"/>
        <v>0</v>
      </c>
      <c r="AJ24" s="254">
        <f t="shared" si="12"/>
        <v>0</v>
      </c>
      <c r="AK24" s="254">
        <f t="shared" si="12"/>
        <v>0</v>
      </c>
      <c r="AL24" s="254">
        <f t="shared" si="12"/>
        <v>0</v>
      </c>
      <c r="AM24" s="254">
        <f t="shared" si="12"/>
        <v>0</v>
      </c>
      <c r="AN24" s="254">
        <f t="shared" si="12"/>
        <v>0</v>
      </c>
      <c r="AO24" s="254">
        <f t="shared" si="12"/>
        <v>0</v>
      </c>
      <c r="AP24" s="254">
        <f t="shared" si="12"/>
        <v>0</v>
      </c>
      <c r="AQ24" s="254">
        <f t="shared" si="12"/>
        <v>0</v>
      </c>
      <c r="AR24" s="254">
        <f t="shared" si="12"/>
        <v>0</v>
      </c>
      <c r="AS24" s="254">
        <f t="shared" si="12"/>
        <v>0</v>
      </c>
      <c r="AT24" s="254">
        <f t="shared" si="12"/>
        <v>0</v>
      </c>
      <c r="AU24" s="254">
        <f t="shared" si="12"/>
        <v>0</v>
      </c>
      <c r="AV24" s="254">
        <f t="shared" si="12"/>
        <v>0</v>
      </c>
      <c r="AW24" s="254">
        <f t="shared" si="12"/>
        <v>0</v>
      </c>
      <c r="AX24" s="254">
        <f t="shared" si="12"/>
        <v>0</v>
      </c>
      <c r="AY24" s="254">
        <f t="shared" si="12"/>
        <v>0</v>
      </c>
      <c r="AZ24" s="254">
        <f t="shared" si="12"/>
        <v>0</v>
      </c>
      <c r="BA24" s="254">
        <f t="shared" si="12"/>
        <v>0</v>
      </c>
      <c r="BB24" s="254">
        <f t="shared" si="12"/>
        <v>0</v>
      </c>
      <c r="BC24" s="254">
        <f t="shared" si="12"/>
        <v>0</v>
      </c>
      <c r="BD24" s="254">
        <f t="shared" si="12"/>
        <v>0</v>
      </c>
      <c r="BE24" s="254">
        <f t="shared" si="12"/>
        <v>0</v>
      </c>
      <c r="BF24" s="254">
        <f t="shared" si="12"/>
        <v>0</v>
      </c>
      <c r="BG24" s="254">
        <f t="shared" si="12"/>
        <v>0</v>
      </c>
      <c r="BH24" s="254">
        <f t="shared" si="12"/>
        <v>0</v>
      </c>
      <c r="BI24" s="254">
        <f t="shared" si="12"/>
        <v>0</v>
      </c>
      <c r="BJ24" s="254">
        <f t="shared" si="12"/>
        <v>0</v>
      </c>
      <c r="BK24" s="254">
        <f t="shared" si="12"/>
        <v>0</v>
      </c>
      <c r="BL24" s="254">
        <f t="shared" si="12"/>
        <v>0</v>
      </c>
      <c r="BM24" s="254">
        <f t="shared" si="12"/>
        <v>0</v>
      </c>
      <c r="BN24" s="254">
        <f t="shared" si="12"/>
        <v>0</v>
      </c>
      <c r="BO24" s="254">
        <f t="shared" si="12"/>
        <v>0</v>
      </c>
      <c r="BP24" s="254">
        <f t="shared" si="12"/>
        <v>0</v>
      </c>
      <c r="BQ24" s="254">
        <f t="shared" si="12"/>
        <v>0</v>
      </c>
      <c r="BR24" s="254">
        <f t="shared" si="12"/>
        <v>0</v>
      </c>
      <c r="BS24" s="254">
        <f t="shared" si="12"/>
        <v>0</v>
      </c>
      <c r="BT24" s="254">
        <f t="shared" si="12"/>
        <v>0</v>
      </c>
      <c r="BU24" s="254">
        <f t="shared" si="12"/>
        <v>0</v>
      </c>
      <c r="BV24" s="254">
        <f t="shared" si="12"/>
        <v>0</v>
      </c>
      <c r="BW24" s="254">
        <f t="shared" si="12"/>
        <v>0</v>
      </c>
      <c r="BX24" s="254">
        <f t="shared" si="12"/>
        <v>0</v>
      </c>
      <c r="BY24" s="255">
        <f t="shared" si="12"/>
        <v>-3375000</v>
      </c>
      <c r="BZ24" s="564"/>
      <c r="CA24" s="229"/>
      <c r="CB24" s="229">
        <f>BZ9</f>
        <v>63561333.333333336</v>
      </c>
      <c r="CC24" s="229"/>
      <c r="CD24" s="256" t="e">
        <f t="array" aca="1" ref="CD24" ca="1">SUM(INDEX(E24:BX24, , 1):INDEX(E24:BX24, ,MATCH($CD$4, $E$3:$BX$3,0) ))</f>
        <v>#N/A</v>
      </c>
      <c r="CE24" s="564"/>
    </row>
    <row r="25" spans="2:83" ht="15.95" outlineLevel="1">
      <c r="B25" s="569"/>
      <c r="C25" s="257" t="s">
        <v>203</v>
      </c>
      <c r="D25" s="261" t="s">
        <v>191</v>
      </c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345"/>
      <c r="R25" s="345"/>
      <c r="S25" s="345"/>
      <c r="T25" s="345">
        <f>-280000</f>
        <v>-280000</v>
      </c>
      <c r="U25" s="345">
        <f>-420000</f>
        <v>-420000</v>
      </c>
      <c r="V25" s="345">
        <f>-700000</f>
        <v>-700000</v>
      </c>
      <c r="W25" s="345">
        <f>-900000</f>
        <v>-900000</v>
      </c>
      <c r="X25" s="345">
        <f t="shared" ref="X25:Y25" si="13">-1075000/2</f>
        <v>-537500</v>
      </c>
      <c r="Y25" s="345">
        <f t="shared" si="13"/>
        <v>-537500</v>
      </c>
      <c r="Z25" s="345"/>
      <c r="AA25" s="345"/>
      <c r="AB25" s="345"/>
      <c r="AC25" s="345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4">
        <f t="shared" ref="BY25:BY26" si="14">SUM(E25:BX25)</f>
        <v>-3375000</v>
      </c>
      <c r="BZ25" s="564"/>
      <c r="CA25" s="346">
        <v>1905000</v>
      </c>
      <c r="CB25" s="229"/>
      <c r="CC25" s="229"/>
      <c r="CD25" s="256" t="e">
        <f t="shared" ref="CD25:CD26" ca="1" si="15">SUM(INDEX(AC25:BX25, , 1):INDEX(AC25:BX25, ,MATCH(#REF!, $E$3:$BX$3,0) ))</f>
        <v>#REF!</v>
      </c>
      <c r="CE25" s="564"/>
    </row>
    <row r="26" spans="2:83" ht="15.95" outlineLevel="1">
      <c r="B26" s="569"/>
      <c r="C26" s="257" t="s">
        <v>204</v>
      </c>
      <c r="D26" s="261" t="s">
        <v>191</v>
      </c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>
        <f>-Businessplan_prodej!$F$22</f>
        <v>0</v>
      </c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4">
        <f t="shared" si="14"/>
        <v>0</v>
      </c>
      <c r="BZ26" s="564"/>
      <c r="CA26" s="229"/>
      <c r="CB26" s="229"/>
      <c r="CC26" s="229"/>
      <c r="CD26" s="256" t="e">
        <f t="shared" ca="1" si="15"/>
        <v>#REF!</v>
      </c>
      <c r="CE26" s="564"/>
    </row>
    <row r="27" spans="2:83" ht="15.95">
      <c r="B27" s="569"/>
      <c r="C27" s="252" t="s">
        <v>205</v>
      </c>
      <c r="D27" s="253"/>
      <c r="E27" s="254">
        <f t="shared" ref="E27:BX27" si="16">SUM(E28:E34)</f>
        <v>0</v>
      </c>
      <c r="F27" s="254">
        <f t="shared" si="16"/>
        <v>0</v>
      </c>
      <c r="G27" s="254">
        <f t="shared" si="16"/>
        <v>0</v>
      </c>
      <c r="H27" s="254">
        <f t="shared" si="16"/>
        <v>0</v>
      </c>
      <c r="I27" s="254">
        <f t="shared" si="16"/>
        <v>0</v>
      </c>
      <c r="J27" s="254">
        <f t="shared" si="16"/>
        <v>0</v>
      </c>
      <c r="K27" s="254">
        <f t="shared" si="16"/>
        <v>0</v>
      </c>
      <c r="L27" s="254">
        <f t="shared" si="16"/>
        <v>0</v>
      </c>
      <c r="M27" s="254">
        <f t="shared" si="16"/>
        <v>0</v>
      </c>
      <c r="N27" s="254">
        <f t="shared" si="16"/>
        <v>0</v>
      </c>
      <c r="O27" s="254">
        <f t="shared" si="16"/>
        <v>0</v>
      </c>
      <c r="P27" s="254">
        <f t="shared" si="16"/>
        <v>0</v>
      </c>
      <c r="Q27" s="254">
        <f t="shared" si="16"/>
        <v>0</v>
      </c>
      <c r="R27" s="254">
        <f t="shared" si="16"/>
        <v>0</v>
      </c>
      <c r="S27" s="254">
        <f t="shared" si="16"/>
        <v>0</v>
      </c>
      <c r="T27" s="254">
        <f t="shared" si="16"/>
        <v>0</v>
      </c>
      <c r="U27" s="254">
        <f t="shared" si="16"/>
        <v>-100000</v>
      </c>
      <c r="V27" s="254">
        <f t="shared" si="16"/>
        <v>-200000</v>
      </c>
      <c r="W27" s="254">
        <f t="shared" si="16"/>
        <v>0</v>
      </c>
      <c r="X27" s="254">
        <f t="shared" si="16"/>
        <v>0</v>
      </c>
      <c r="Y27" s="254">
        <f t="shared" si="16"/>
        <v>0</v>
      </c>
      <c r="Z27" s="254">
        <f t="shared" si="16"/>
        <v>-6819182.6977777779</v>
      </c>
      <c r="AA27" s="254">
        <f t="shared" si="16"/>
        <v>-6819182.6977777779</v>
      </c>
      <c r="AB27" s="254">
        <f t="shared" si="16"/>
        <v>-6819182.6977777779</v>
      </c>
      <c r="AC27" s="254">
        <f t="shared" si="16"/>
        <v>-6819182.6977777779</v>
      </c>
      <c r="AD27" s="254">
        <f t="shared" si="16"/>
        <v>-6819182.6977777779</v>
      </c>
      <c r="AE27" s="254">
        <f t="shared" si="16"/>
        <v>-6819182.6977777779</v>
      </c>
      <c r="AF27" s="254">
        <f t="shared" si="16"/>
        <v>-6819182.6977777779</v>
      </c>
      <c r="AG27" s="254">
        <f t="shared" si="16"/>
        <v>-6819182.6977777779</v>
      </c>
      <c r="AH27" s="254">
        <f t="shared" si="16"/>
        <v>-6819182.6977777779</v>
      </c>
      <c r="AI27" s="254">
        <f t="shared" si="16"/>
        <v>0</v>
      </c>
      <c r="AJ27" s="254">
        <f t="shared" si="16"/>
        <v>0</v>
      </c>
      <c r="AK27" s="254">
        <f t="shared" si="16"/>
        <v>0</v>
      </c>
      <c r="AL27" s="254">
        <f t="shared" si="16"/>
        <v>0</v>
      </c>
      <c r="AM27" s="254">
        <f t="shared" si="16"/>
        <v>0</v>
      </c>
      <c r="AN27" s="254">
        <f t="shared" si="16"/>
        <v>0</v>
      </c>
      <c r="AO27" s="254">
        <f t="shared" si="16"/>
        <v>0</v>
      </c>
      <c r="AP27" s="254">
        <f t="shared" si="16"/>
        <v>0</v>
      </c>
      <c r="AQ27" s="254">
        <f t="shared" si="16"/>
        <v>0</v>
      </c>
      <c r="AR27" s="254">
        <f t="shared" si="16"/>
        <v>0</v>
      </c>
      <c r="AS27" s="254">
        <f t="shared" si="16"/>
        <v>0</v>
      </c>
      <c r="AT27" s="254">
        <f t="shared" si="16"/>
        <v>0</v>
      </c>
      <c r="AU27" s="254">
        <f t="shared" si="16"/>
        <v>0</v>
      </c>
      <c r="AV27" s="254">
        <f t="shared" si="16"/>
        <v>0</v>
      </c>
      <c r="AW27" s="254">
        <f t="shared" si="16"/>
        <v>0</v>
      </c>
      <c r="AX27" s="254">
        <f t="shared" si="16"/>
        <v>0</v>
      </c>
      <c r="AY27" s="254">
        <f t="shared" si="16"/>
        <v>0</v>
      </c>
      <c r="AZ27" s="254">
        <f t="shared" si="16"/>
        <v>0</v>
      </c>
      <c r="BA27" s="254">
        <f t="shared" si="16"/>
        <v>0</v>
      </c>
      <c r="BB27" s="254">
        <f t="shared" si="16"/>
        <v>0</v>
      </c>
      <c r="BC27" s="254">
        <f t="shared" si="16"/>
        <v>0</v>
      </c>
      <c r="BD27" s="254">
        <f t="shared" si="16"/>
        <v>0</v>
      </c>
      <c r="BE27" s="254">
        <f t="shared" si="16"/>
        <v>0</v>
      </c>
      <c r="BF27" s="254">
        <f t="shared" si="16"/>
        <v>0</v>
      </c>
      <c r="BG27" s="254">
        <f t="shared" si="16"/>
        <v>0</v>
      </c>
      <c r="BH27" s="254">
        <f t="shared" si="16"/>
        <v>0</v>
      </c>
      <c r="BI27" s="254">
        <f t="shared" si="16"/>
        <v>0</v>
      </c>
      <c r="BJ27" s="254">
        <f t="shared" si="16"/>
        <v>0</v>
      </c>
      <c r="BK27" s="254">
        <f t="shared" si="16"/>
        <v>0</v>
      </c>
      <c r="BL27" s="254">
        <f t="shared" si="16"/>
        <v>0</v>
      </c>
      <c r="BM27" s="254">
        <f t="shared" si="16"/>
        <v>0</v>
      </c>
      <c r="BN27" s="254">
        <f t="shared" si="16"/>
        <v>0</v>
      </c>
      <c r="BO27" s="254">
        <f t="shared" si="16"/>
        <v>0</v>
      </c>
      <c r="BP27" s="254">
        <f t="shared" si="16"/>
        <v>0</v>
      </c>
      <c r="BQ27" s="254">
        <f t="shared" si="16"/>
        <v>0</v>
      </c>
      <c r="BR27" s="254">
        <f t="shared" si="16"/>
        <v>0</v>
      </c>
      <c r="BS27" s="254">
        <f t="shared" si="16"/>
        <v>0</v>
      </c>
      <c r="BT27" s="254">
        <f t="shared" si="16"/>
        <v>0</v>
      </c>
      <c r="BU27" s="254">
        <f t="shared" si="16"/>
        <v>0</v>
      </c>
      <c r="BV27" s="254">
        <f t="shared" si="16"/>
        <v>0</v>
      </c>
      <c r="BW27" s="254">
        <f t="shared" si="16"/>
        <v>0</v>
      </c>
      <c r="BX27" s="254">
        <f t="shared" si="16"/>
        <v>0</v>
      </c>
      <c r="BY27" s="256">
        <f>SUM(BY28:BY34)</f>
        <v>-61672644.280000001</v>
      </c>
      <c r="BZ27" s="564"/>
      <c r="CA27" s="229"/>
      <c r="CB27" s="248">
        <f>CB24/(CB24+CB18)</f>
        <v>0.65581004419629496</v>
      </c>
      <c r="CC27" s="229"/>
      <c r="CD27" s="256" t="e">
        <f t="array" aca="1" ref="CD27" ca="1">SUM(INDEX(E27:BX27, , 1):INDEX(E27:BX27, ,MATCH($CD$4, $E$3:$BX$3,0) ))</f>
        <v>#N/A</v>
      </c>
      <c r="CE27" s="564"/>
    </row>
    <row r="28" spans="2:83" ht="15.95" outlineLevel="1">
      <c r="B28" s="569"/>
      <c r="C28" s="257" t="s">
        <v>206</v>
      </c>
      <c r="D28" s="258" t="s">
        <v>191</v>
      </c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>
        <f>(-Businessplan_prodej!$C$40+Businessplan_prodej!$F$38)/9</f>
        <v>-6819182.6977777779</v>
      </c>
      <c r="AA28" s="259">
        <f>(-Businessplan_prodej!$C$40+Businessplan_prodej!$F$38)/9</f>
        <v>-6819182.6977777779</v>
      </c>
      <c r="AB28" s="259">
        <f>(-Businessplan_prodej!$C$40+Businessplan_prodej!$F$38)/9</f>
        <v>-6819182.6977777779</v>
      </c>
      <c r="AC28" s="259">
        <f>(-Businessplan_prodej!$C$40+Businessplan_prodej!$F$38)/9</f>
        <v>-6819182.6977777779</v>
      </c>
      <c r="AD28" s="259">
        <f>(-Businessplan_prodej!$C$40+Businessplan_prodej!$F$38)/9</f>
        <v>-6819182.6977777779</v>
      </c>
      <c r="AE28" s="259">
        <f>(-Businessplan_prodej!$C$40+Businessplan_prodej!$F$38)/9</f>
        <v>-6819182.6977777779</v>
      </c>
      <c r="AF28" s="259">
        <f>(-Businessplan_prodej!$C$40+Businessplan_prodej!$F$38)/9</f>
        <v>-6819182.6977777779</v>
      </c>
      <c r="AG28" s="259">
        <f>(-Businessplan_prodej!$C$40+Businessplan_prodej!$F$38)/9</f>
        <v>-6819182.6977777779</v>
      </c>
      <c r="AH28" s="259">
        <f>(-Businessplan_prodej!$C$40+Businessplan_prodej!$F$38)/9</f>
        <v>-6819182.6977777779</v>
      </c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  <c r="BV28" s="259"/>
      <c r="BW28" s="259"/>
      <c r="BX28" s="265"/>
      <c r="BY28" s="266">
        <f t="shared" ref="BY28:BY34" si="17">SUM(E28:BX28)</f>
        <v>-61372644.280000001</v>
      </c>
      <c r="BZ28" s="564"/>
      <c r="CA28" s="229"/>
      <c r="CB28" s="229"/>
      <c r="CC28" s="229"/>
      <c r="CD28" s="256" t="e">
        <f t="shared" ref="CD28:CD34" ca="1" si="18">SUM(INDEX(AC28:BX28, , 1):INDEX(AC28:BX28, ,MATCH(#REF!, $E$3:$BX$3,0) ))</f>
        <v>#REF!</v>
      </c>
      <c r="CE28" s="564"/>
    </row>
    <row r="29" spans="2:83" ht="15.95" outlineLevel="1">
      <c r="B29" s="569"/>
      <c r="C29" s="257" t="s">
        <v>207</v>
      </c>
      <c r="D29" s="258" t="s">
        <v>191</v>
      </c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  <c r="AE29" s="259"/>
      <c r="AF29" s="259"/>
      <c r="AG29" s="259"/>
      <c r="AH29" s="259"/>
      <c r="AI29" s="259"/>
      <c r="AJ29" s="259"/>
      <c r="AK29" s="259"/>
      <c r="AL29" s="259"/>
      <c r="AM29" s="259"/>
      <c r="AN29" s="259"/>
      <c r="AO29" s="259"/>
      <c r="AP29" s="259"/>
      <c r="AQ29" s="259"/>
      <c r="AR29" s="259"/>
      <c r="AS29" s="259"/>
      <c r="AT29" s="259"/>
      <c r="AU29" s="259"/>
      <c r="AV29" s="259"/>
      <c r="AW29" s="259"/>
      <c r="AX29" s="259"/>
      <c r="AY29" s="259"/>
      <c r="AZ29" s="259"/>
      <c r="BA29" s="259"/>
      <c r="BB29" s="259"/>
      <c r="BC29" s="259"/>
      <c r="BD29" s="259"/>
      <c r="BE29" s="259"/>
      <c r="BF29" s="259"/>
      <c r="BG29" s="259"/>
      <c r="BH29" s="259"/>
      <c r="BI29" s="259"/>
      <c r="BJ29" s="259"/>
      <c r="BK29" s="259"/>
      <c r="BL29" s="259"/>
      <c r="BM29" s="259"/>
      <c r="BN29" s="259"/>
      <c r="BO29" s="259"/>
      <c r="BP29" s="259"/>
      <c r="BQ29" s="259"/>
      <c r="BR29" s="259"/>
      <c r="BS29" s="259"/>
      <c r="BT29" s="259"/>
      <c r="BU29" s="259"/>
      <c r="BV29" s="259"/>
      <c r="BW29" s="259"/>
      <c r="BX29" s="265"/>
      <c r="BY29" s="267">
        <f t="shared" si="17"/>
        <v>0</v>
      </c>
      <c r="BZ29" s="564"/>
      <c r="CA29" s="229"/>
      <c r="CB29" s="229"/>
      <c r="CC29" s="229"/>
      <c r="CD29" s="256" t="e">
        <f t="shared" ca="1" si="18"/>
        <v>#REF!</v>
      </c>
      <c r="CE29" s="564"/>
    </row>
    <row r="30" spans="2:83" ht="15.95" outlineLevel="1">
      <c r="B30" s="569"/>
      <c r="C30" s="257" t="s">
        <v>208</v>
      </c>
      <c r="D30" s="258" t="s">
        <v>191</v>
      </c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259"/>
      <c r="BS30" s="259"/>
      <c r="BT30" s="259"/>
      <c r="BU30" s="259"/>
      <c r="BV30" s="259"/>
      <c r="BW30" s="259"/>
      <c r="BX30" s="265"/>
      <c r="BY30" s="267">
        <f t="shared" si="17"/>
        <v>0</v>
      </c>
      <c r="BZ30" s="564"/>
      <c r="CA30" s="229"/>
      <c r="CB30" s="229"/>
      <c r="CC30" s="229"/>
      <c r="CD30" s="256" t="e">
        <f t="shared" ca="1" si="18"/>
        <v>#REF!</v>
      </c>
      <c r="CE30" s="564"/>
    </row>
    <row r="31" spans="2:83" ht="15.95" outlineLevel="1">
      <c r="B31" s="569"/>
      <c r="C31" s="257" t="s">
        <v>209</v>
      </c>
      <c r="D31" s="258" t="s">
        <v>191</v>
      </c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>
        <f>-100000</f>
        <v>-100000</v>
      </c>
      <c r="V31" s="259">
        <f>-100000*2</f>
        <v>-200000</v>
      </c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59"/>
      <c r="AW31" s="259"/>
      <c r="AX31" s="259"/>
      <c r="AY31" s="259"/>
      <c r="AZ31" s="259"/>
      <c r="BA31" s="259"/>
      <c r="BB31" s="259"/>
      <c r="BC31" s="259"/>
      <c r="BD31" s="259"/>
      <c r="BE31" s="259"/>
      <c r="BF31" s="259"/>
      <c r="BG31" s="259"/>
      <c r="BH31" s="259"/>
      <c r="BI31" s="259"/>
      <c r="BJ31" s="259"/>
      <c r="BK31" s="259"/>
      <c r="BL31" s="259"/>
      <c r="BM31" s="259"/>
      <c r="BN31" s="259"/>
      <c r="BO31" s="259"/>
      <c r="BP31" s="259"/>
      <c r="BQ31" s="259"/>
      <c r="BR31" s="259"/>
      <c r="BS31" s="259"/>
      <c r="BT31" s="259"/>
      <c r="BU31" s="259"/>
      <c r="BV31" s="259"/>
      <c r="BW31" s="259"/>
      <c r="BX31" s="265"/>
      <c r="BY31" s="267">
        <f t="shared" si="17"/>
        <v>-300000</v>
      </c>
      <c r="BZ31" s="564"/>
      <c r="CA31" s="229"/>
      <c r="CB31" s="229"/>
      <c r="CC31" s="229"/>
      <c r="CD31" s="256" t="e">
        <f t="shared" ca="1" si="18"/>
        <v>#REF!</v>
      </c>
      <c r="CE31" s="564"/>
    </row>
    <row r="32" spans="2:83" ht="15.95" outlineLevel="1">
      <c r="B32" s="569"/>
      <c r="C32" s="257" t="s">
        <v>210</v>
      </c>
      <c r="D32" s="258" t="s">
        <v>191</v>
      </c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  <c r="AP32" s="259"/>
      <c r="AQ32" s="259"/>
      <c r="AR32" s="259"/>
      <c r="AS32" s="259"/>
      <c r="AT32" s="259"/>
      <c r="AU32" s="259"/>
      <c r="AV32" s="259"/>
      <c r="AW32" s="259"/>
      <c r="AX32" s="259"/>
      <c r="AY32" s="259"/>
      <c r="AZ32" s="259"/>
      <c r="BA32" s="259"/>
      <c r="BB32" s="259"/>
      <c r="BC32" s="259"/>
      <c r="BD32" s="259"/>
      <c r="BE32" s="259"/>
      <c r="BF32" s="259"/>
      <c r="BG32" s="259"/>
      <c r="BH32" s="259"/>
      <c r="BI32" s="259"/>
      <c r="BJ32" s="259"/>
      <c r="BK32" s="259"/>
      <c r="BL32" s="259"/>
      <c r="BM32" s="259"/>
      <c r="BN32" s="259"/>
      <c r="BO32" s="259"/>
      <c r="BP32" s="259"/>
      <c r="BQ32" s="259"/>
      <c r="BR32" s="259"/>
      <c r="BS32" s="259"/>
      <c r="BT32" s="259"/>
      <c r="BU32" s="259"/>
      <c r="BV32" s="259"/>
      <c r="BW32" s="259"/>
      <c r="BX32" s="265"/>
      <c r="BY32" s="267">
        <f t="shared" si="17"/>
        <v>0</v>
      </c>
      <c r="BZ32" s="564"/>
      <c r="CA32" s="229"/>
      <c r="CB32" s="229"/>
      <c r="CC32" s="229"/>
      <c r="CD32" s="256" t="e">
        <f t="shared" ca="1" si="18"/>
        <v>#REF!</v>
      </c>
      <c r="CE32" s="564"/>
    </row>
    <row r="33" spans="2:83" ht="15.95" outlineLevel="1">
      <c r="B33" s="569"/>
      <c r="C33" s="268" t="s">
        <v>211</v>
      </c>
      <c r="D33" s="258" t="s">
        <v>191</v>
      </c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  <c r="AP33" s="259"/>
      <c r="AQ33" s="259"/>
      <c r="AR33" s="259"/>
      <c r="AS33" s="259"/>
      <c r="AT33" s="259"/>
      <c r="AU33" s="259"/>
      <c r="AV33" s="259"/>
      <c r="AW33" s="259"/>
      <c r="AX33" s="259"/>
      <c r="AY33" s="259"/>
      <c r="AZ33" s="259"/>
      <c r="BA33" s="259"/>
      <c r="BB33" s="259"/>
      <c r="BC33" s="259"/>
      <c r="BD33" s="259"/>
      <c r="BE33" s="259"/>
      <c r="BF33" s="259"/>
      <c r="BG33" s="259"/>
      <c r="BH33" s="259"/>
      <c r="BI33" s="259"/>
      <c r="BJ33" s="259"/>
      <c r="BK33" s="259"/>
      <c r="BL33" s="259"/>
      <c r="BM33" s="259"/>
      <c r="BN33" s="259"/>
      <c r="BO33" s="259"/>
      <c r="BP33" s="259"/>
      <c r="BQ33" s="259"/>
      <c r="BR33" s="259"/>
      <c r="BS33" s="259"/>
      <c r="BT33" s="259"/>
      <c r="BU33" s="259"/>
      <c r="BV33" s="259"/>
      <c r="BW33" s="259"/>
      <c r="BX33" s="265"/>
      <c r="BY33" s="267">
        <f t="shared" si="17"/>
        <v>0</v>
      </c>
      <c r="BZ33" s="564"/>
      <c r="CA33" s="229"/>
      <c r="CB33" s="229"/>
      <c r="CC33" s="229"/>
      <c r="CD33" s="256" t="e">
        <f t="shared" ca="1" si="18"/>
        <v>#REF!</v>
      </c>
      <c r="CE33" s="564"/>
    </row>
    <row r="34" spans="2:83" ht="15.95" outlineLevel="1">
      <c r="B34" s="569"/>
      <c r="C34" s="257" t="s">
        <v>212</v>
      </c>
      <c r="D34" s="261" t="s">
        <v>191</v>
      </c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65"/>
      <c r="BY34" s="269">
        <f t="shared" si="17"/>
        <v>0</v>
      </c>
      <c r="BZ34" s="564"/>
      <c r="CA34" s="229"/>
      <c r="CB34" s="229"/>
      <c r="CC34" s="229"/>
      <c r="CD34" s="256" t="e">
        <f t="shared" ca="1" si="18"/>
        <v>#REF!</v>
      </c>
      <c r="CE34" s="564"/>
    </row>
    <row r="35" spans="2:83" ht="15.95">
      <c r="B35" s="569"/>
      <c r="C35" s="252" t="s">
        <v>213</v>
      </c>
      <c r="D35" s="253"/>
      <c r="E35" s="254">
        <f t="shared" ref="E35:BX35" si="19">SUM(E36:E37)</f>
        <v>0</v>
      </c>
      <c r="F35" s="254">
        <f t="shared" si="19"/>
        <v>0</v>
      </c>
      <c r="G35" s="254">
        <f t="shared" si="19"/>
        <v>0</v>
      </c>
      <c r="H35" s="254">
        <f t="shared" si="19"/>
        <v>0</v>
      </c>
      <c r="I35" s="254">
        <f t="shared" si="19"/>
        <v>0</v>
      </c>
      <c r="J35" s="254">
        <f t="shared" si="19"/>
        <v>0</v>
      </c>
      <c r="K35" s="254">
        <f t="shared" si="19"/>
        <v>0</v>
      </c>
      <c r="L35" s="254">
        <f t="shared" si="19"/>
        <v>0</v>
      </c>
      <c r="M35" s="254">
        <f t="shared" si="19"/>
        <v>0</v>
      </c>
      <c r="N35" s="254">
        <f t="shared" si="19"/>
        <v>0</v>
      </c>
      <c r="O35" s="254">
        <f t="shared" si="19"/>
        <v>0</v>
      </c>
      <c r="P35" s="254">
        <f t="shared" si="19"/>
        <v>0</v>
      </c>
      <c r="Q35" s="254">
        <f t="shared" si="19"/>
        <v>0</v>
      </c>
      <c r="R35" s="254">
        <f t="shared" si="19"/>
        <v>0</v>
      </c>
      <c r="S35" s="254">
        <f t="shared" si="19"/>
        <v>0</v>
      </c>
      <c r="T35" s="254">
        <f t="shared" si="19"/>
        <v>0</v>
      </c>
      <c r="U35" s="254">
        <f t="shared" si="19"/>
        <v>0</v>
      </c>
      <c r="V35" s="254">
        <f t="shared" si="19"/>
        <v>0</v>
      </c>
      <c r="W35" s="254">
        <f t="shared" si="19"/>
        <v>0</v>
      </c>
      <c r="X35" s="254">
        <f t="shared" si="19"/>
        <v>0</v>
      </c>
      <c r="Y35" s="254">
        <f t="shared" si="19"/>
        <v>0</v>
      </c>
      <c r="Z35" s="254">
        <f t="shared" si="19"/>
        <v>0</v>
      </c>
      <c r="AA35" s="254">
        <f t="shared" si="19"/>
        <v>0</v>
      </c>
      <c r="AB35" s="254">
        <f t="shared" si="19"/>
        <v>0</v>
      </c>
      <c r="AC35" s="254">
        <f t="shared" si="19"/>
        <v>0</v>
      </c>
      <c r="AD35" s="254">
        <f t="shared" si="19"/>
        <v>0</v>
      </c>
      <c r="AE35" s="254">
        <f t="shared" si="19"/>
        <v>0</v>
      </c>
      <c r="AF35" s="254">
        <f t="shared" si="19"/>
        <v>0</v>
      </c>
      <c r="AG35" s="254">
        <f t="shared" si="19"/>
        <v>0</v>
      </c>
      <c r="AH35" s="254">
        <f t="shared" si="19"/>
        <v>0</v>
      </c>
      <c r="AI35" s="254">
        <f t="shared" si="19"/>
        <v>0</v>
      </c>
      <c r="AJ35" s="254">
        <f t="shared" si="19"/>
        <v>-1901500</v>
      </c>
      <c r="AK35" s="254">
        <f t="shared" si="19"/>
        <v>-1901500</v>
      </c>
      <c r="AL35" s="254">
        <f t="shared" si="19"/>
        <v>-1901500</v>
      </c>
      <c r="AM35" s="254">
        <f t="shared" si="19"/>
        <v>-1901500</v>
      </c>
      <c r="AN35" s="254">
        <f t="shared" si="19"/>
        <v>-1901500</v>
      </c>
      <c r="AO35" s="254">
        <f t="shared" si="19"/>
        <v>0</v>
      </c>
      <c r="AP35" s="254">
        <f t="shared" si="19"/>
        <v>0</v>
      </c>
      <c r="AQ35" s="254">
        <f t="shared" si="19"/>
        <v>0</v>
      </c>
      <c r="AR35" s="254">
        <f t="shared" si="19"/>
        <v>0</v>
      </c>
      <c r="AS35" s="254">
        <f t="shared" si="19"/>
        <v>0</v>
      </c>
      <c r="AT35" s="254">
        <f t="shared" si="19"/>
        <v>0</v>
      </c>
      <c r="AU35" s="254">
        <f t="shared" si="19"/>
        <v>0</v>
      </c>
      <c r="AV35" s="254">
        <f t="shared" si="19"/>
        <v>0</v>
      </c>
      <c r="AW35" s="254">
        <f t="shared" si="19"/>
        <v>0</v>
      </c>
      <c r="AX35" s="254">
        <f t="shared" si="19"/>
        <v>0</v>
      </c>
      <c r="AY35" s="254">
        <f t="shared" si="19"/>
        <v>0</v>
      </c>
      <c r="AZ35" s="254">
        <f t="shared" si="19"/>
        <v>0</v>
      </c>
      <c r="BA35" s="254">
        <f t="shared" si="19"/>
        <v>0</v>
      </c>
      <c r="BB35" s="254">
        <f t="shared" si="19"/>
        <v>0</v>
      </c>
      <c r="BC35" s="254">
        <f t="shared" si="19"/>
        <v>0</v>
      </c>
      <c r="BD35" s="254">
        <f t="shared" si="19"/>
        <v>0</v>
      </c>
      <c r="BE35" s="254">
        <f t="shared" si="19"/>
        <v>0</v>
      </c>
      <c r="BF35" s="254">
        <f t="shared" si="19"/>
        <v>0</v>
      </c>
      <c r="BG35" s="254">
        <f t="shared" si="19"/>
        <v>0</v>
      </c>
      <c r="BH35" s="254">
        <f t="shared" si="19"/>
        <v>0</v>
      </c>
      <c r="BI35" s="254">
        <f t="shared" si="19"/>
        <v>0</v>
      </c>
      <c r="BJ35" s="254">
        <f t="shared" si="19"/>
        <v>0</v>
      </c>
      <c r="BK35" s="254">
        <f t="shared" si="19"/>
        <v>0</v>
      </c>
      <c r="BL35" s="254">
        <f t="shared" si="19"/>
        <v>0</v>
      </c>
      <c r="BM35" s="254">
        <f t="shared" si="19"/>
        <v>0</v>
      </c>
      <c r="BN35" s="254">
        <f t="shared" si="19"/>
        <v>0</v>
      </c>
      <c r="BO35" s="254">
        <f t="shared" si="19"/>
        <v>0</v>
      </c>
      <c r="BP35" s="254">
        <f t="shared" si="19"/>
        <v>0</v>
      </c>
      <c r="BQ35" s="254">
        <f t="shared" si="19"/>
        <v>0</v>
      </c>
      <c r="BR35" s="254">
        <f t="shared" si="19"/>
        <v>0</v>
      </c>
      <c r="BS35" s="254">
        <f t="shared" si="19"/>
        <v>0</v>
      </c>
      <c r="BT35" s="254">
        <f t="shared" si="19"/>
        <v>0</v>
      </c>
      <c r="BU35" s="254">
        <f t="shared" si="19"/>
        <v>0</v>
      </c>
      <c r="BV35" s="254">
        <f t="shared" si="19"/>
        <v>0</v>
      </c>
      <c r="BW35" s="254">
        <f t="shared" si="19"/>
        <v>0</v>
      </c>
      <c r="BX35" s="254">
        <f t="shared" si="19"/>
        <v>0</v>
      </c>
      <c r="BY35" s="256">
        <f>SUM(BY36:BY37)</f>
        <v>-9507500</v>
      </c>
      <c r="BZ35" s="564"/>
      <c r="CA35" s="229"/>
      <c r="CB35" s="229"/>
      <c r="CC35" s="229"/>
      <c r="CD35" s="256" t="e">
        <f t="array" aca="1" ref="CD35" ca="1">SUM(INDEX(E35:BX35, , 1):INDEX(E35:BX35, ,MATCH($CD$4, $E$3:$BX$3,0) ))</f>
        <v>#N/A</v>
      </c>
      <c r="CE35" s="564"/>
    </row>
    <row r="36" spans="2:83" ht="15.95" outlineLevel="1">
      <c r="B36" s="569"/>
      <c r="C36" s="257" t="s">
        <v>214</v>
      </c>
      <c r="D36" s="258" t="s">
        <v>191</v>
      </c>
      <c r="E36" s="259"/>
      <c r="F36" s="259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70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>
        <f>-Businessplan_prodej!$F$46/5</f>
        <v>-1901500</v>
      </c>
      <c r="AK36" s="259">
        <f>-Businessplan_prodej!$F$46/5</f>
        <v>-1901500</v>
      </c>
      <c r="AL36" s="259">
        <f>-Businessplan_prodej!$F$46/5</f>
        <v>-1901500</v>
      </c>
      <c r="AM36" s="259">
        <f>-Businessplan_prodej!$F$46/5</f>
        <v>-1901500</v>
      </c>
      <c r="AN36" s="259">
        <f>-Businessplan_prodej!$F$46/5</f>
        <v>-1901500</v>
      </c>
      <c r="AO36" s="259"/>
      <c r="AP36" s="259"/>
      <c r="AQ36" s="259"/>
      <c r="AR36" s="259"/>
      <c r="AS36" s="259"/>
      <c r="AT36" s="259"/>
      <c r="AU36" s="259"/>
      <c r="AV36" s="259"/>
      <c r="AW36" s="259"/>
      <c r="AX36" s="259"/>
      <c r="AY36" s="259"/>
      <c r="AZ36" s="259"/>
      <c r="BA36" s="259"/>
      <c r="BB36" s="259"/>
      <c r="BC36" s="259"/>
      <c r="BD36" s="259"/>
      <c r="BE36" s="259"/>
      <c r="BF36" s="259"/>
      <c r="BG36" s="259"/>
      <c r="BH36" s="259"/>
      <c r="BI36" s="259"/>
      <c r="BJ36" s="259"/>
      <c r="BK36" s="259"/>
      <c r="BL36" s="259"/>
      <c r="BM36" s="259"/>
      <c r="BN36" s="259"/>
      <c r="BO36" s="259"/>
      <c r="BP36" s="259"/>
      <c r="BQ36" s="259"/>
      <c r="BR36" s="259"/>
      <c r="BS36" s="259"/>
      <c r="BT36" s="259"/>
      <c r="BU36" s="259"/>
      <c r="BV36" s="259"/>
      <c r="BW36" s="259"/>
      <c r="BX36" s="265"/>
      <c r="BY36" s="266">
        <f t="shared" ref="BY36:BY37" si="20">SUM(E36:BX36)</f>
        <v>-9507500</v>
      </c>
      <c r="BZ36" s="564"/>
      <c r="CA36" s="229"/>
      <c r="CB36" s="229"/>
      <c r="CC36" s="229"/>
      <c r="CD36" s="256" t="e">
        <f t="array" aca="1" ref="CD36" ca="1">SUM(INDEX(AF36:BX36, , 1):INDEX(AF36:BX36, ,MATCH(#REF!, $E$3:$BX$3,0) ))</f>
        <v>#REF!</v>
      </c>
      <c r="CE36" s="564"/>
    </row>
    <row r="37" spans="2:83" ht="15.95" outlineLevel="1">
      <c r="B37" s="569"/>
      <c r="C37" s="257" t="s">
        <v>215</v>
      </c>
      <c r="D37" s="261" t="s">
        <v>191</v>
      </c>
      <c r="E37" s="259"/>
      <c r="F37" s="259"/>
      <c r="G37" s="259"/>
      <c r="H37" s="259"/>
      <c r="I37" s="259"/>
      <c r="J37" s="259"/>
      <c r="K37" s="259"/>
      <c r="L37" s="259"/>
      <c r="M37" s="259"/>
      <c r="N37" s="259"/>
      <c r="O37" s="259"/>
      <c r="P37" s="259"/>
      <c r="Q37" s="259"/>
      <c r="R37" s="259"/>
      <c r="S37" s="270"/>
      <c r="T37" s="259"/>
      <c r="U37" s="259"/>
      <c r="V37" s="259"/>
      <c r="W37" s="259"/>
      <c r="X37" s="259"/>
      <c r="Y37" s="259"/>
      <c r="Z37" s="259"/>
      <c r="AA37" s="259"/>
      <c r="AB37" s="259"/>
      <c r="AC37" s="259"/>
      <c r="AD37" s="259"/>
      <c r="AE37" s="259"/>
      <c r="AF37" s="259"/>
      <c r="AG37" s="259"/>
      <c r="AH37" s="259"/>
      <c r="AI37" s="259"/>
      <c r="AJ37" s="259"/>
      <c r="AK37" s="259"/>
      <c r="AL37" s="259"/>
      <c r="AM37" s="259"/>
      <c r="AN37" s="259"/>
      <c r="AO37" s="259"/>
      <c r="AP37" s="259"/>
      <c r="AQ37" s="259"/>
      <c r="AR37" s="259"/>
      <c r="AS37" s="259"/>
      <c r="AT37" s="259"/>
      <c r="AU37" s="259"/>
      <c r="AV37" s="259"/>
      <c r="AW37" s="259"/>
      <c r="AX37" s="259"/>
      <c r="AY37" s="259"/>
      <c r="AZ37" s="259"/>
      <c r="BA37" s="259"/>
      <c r="BB37" s="259"/>
      <c r="BC37" s="259"/>
      <c r="BD37" s="259"/>
      <c r="BE37" s="259"/>
      <c r="BF37" s="259"/>
      <c r="BG37" s="259"/>
      <c r="BH37" s="259"/>
      <c r="BI37" s="259"/>
      <c r="BJ37" s="259"/>
      <c r="BK37" s="259"/>
      <c r="BL37" s="259"/>
      <c r="BM37" s="259"/>
      <c r="BN37" s="259"/>
      <c r="BO37" s="259"/>
      <c r="BP37" s="259"/>
      <c r="BQ37" s="259"/>
      <c r="BR37" s="259"/>
      <c r="BS37" s="259"/>
      <c r="BT37" s="259"/>
      <c r="BU37" s="259"/>
      <c r="BV37" s="259"/>
      <c r="BW37" s="259"/>
      <c r="BX37" s="265"/>
      <c r="BY37" s="269">
        <f t="shared" si="20"/>
        <v>0</v>
      </c>
      <c r="BZ37" s="564"/>
      <c r="CA37" s="229"/>
      <c r="CB37" s="229"/>
      <c r="CC37" s="229"/>
      <c r="CD37" s="256" t="e">
        <f t="array" aca="1" ref="CD37" ca="1">SUM(INDEX(AC37:BX37, , 1):INDEX(AC37:BX37, ,MATCH(#REF!, $E$3:$BX$3,0) ))</f>
        <v>#REF!</v>
      </c>
      <c r="CE37" s="564"/>
    </row>
    <row r="38" spans="2:83" ht="15.95">
      <c r="B38" s="569"/>
      <c r="C38" s="252" t="s">
        <v>216</v>
      </c>
      <c r="D38" s="253"/>
      <c r="E38" s="254">
        <f t="shared" ref="E38:BX38" si="21">SUM(E39:E47)</f>
        <v>0</v>
      </c>
      <c r="F38" s="254">
        <f t="shared" si="21"/>
        <v>0</v>
      </c>
      <c r="G38" s="254">
        <f t="shared" si="21"/>
        <v>0</v>
      </c>
      <c r="H38" s="254">
        <f t="shared" si="21"/>
        <v>0</v>
      </c>
      <c r="I38" s="254">
        <f t="shared" si="21"/>
        <v>-87324</v>
      </c>
      <c r="J38" s="254">
        <f t="shared" si="21"/>
        <v>0</v>
      </c>
      <c r="K38" s="254">
        <f t="shared" si="21"/>
        <v>0</v>
      </c>
      <c r="L38" s="254">
        <f t="shared" si="21"/>
        <v>-23422</v>
      </c>
      <c r="M38" s="254">
        <f t="shared" si="21"/>
        <v>0</v>
      </c>
      <c r="N38" s="254">
        <f t="shared" si="21"/>
        <v>-11600</v>
      </c>
      <c r="O38" s="254">
        <f t="shared" si="21"/>
        <v>-25152.89256198347</v>
      </c>
      <c r="P38" s="254">
        <f t="shared" si="21"/>
        <v>-30477.685950413223</v>
      </c>
      <c r="Q38" s="254">
        <f t="shared" si="21"/>
        <v>-359550.41322314052</v>
      </c>
      <c r="R38" s="254">
        <f t="shared" si="21"/>
        <v>-180165.06438016528</v>
      </c>
      <c r="S38" s="254">
        <f t="shared" si="21"/>
        <v>-171690.44454545455</v>
      </c>
      <c r="T38" s="254">
        <f t="shared" si="21"/>
        <v>-169136.63256198348</v>
      </c>
      <c r="U38" s="254">
        <f t="shared" si="21"/>
        <v>-237446.63256198348</v>
      </c>
      <c r="V38" s="254">
        <f t="shared" si="21"/>
        <v>-969894.88256198354</v>
      </c>
      <c r="W38" s="254">
        <f t="shared" si="21"/>
        <v>-237446.63256198348</v>
      </c>
      <c r="X38" s="254">
        <f t="shared" si="21"/>
        <v>-169136.63256198348</v>
      </c>
      <c r="Y38" s="254">
        <f t="shared" si="21"/>
        <v>-169136.63256198348</v>
      </c>
      <c r="Z38" s="254">
        <f t="shared" si="21"/>
        <v>-169136.63256198348</v>
      </c>
      <c r="AA38" s="254">
        <f t="shared" si="21"/>
        <v>-169136.63256198348</v>
      </c>
      <c r="AB38" s="254">
        <f t="shared" si="21"/>
        <v>-169136.63256198348</v>
      </c>
      <c r="AC38" s="254">
        <f t="shared" si="21"/>
        <v>-188110.12256198347</v>
      </c>
      <c r="AD38" s="254">
        <f t="shared" si="21"/>
        <v>-188110.12256198347</v>
      </c>
      <c r="AE38" s="254">
        <f t="shared" si="21"/>
        <v>-188110.12256198347</v>
      </c>
      <c r="AF38" s="254">
        <f t="shared" si="21"/>
        <v>-188110.12256198347</v>
      </c>
      <c r="AG38" s="254">
        <f t="shared" si="21"/>
        <v>-279190.12256198347</v>
      </c>
      <c r="AH38" s="254">
        <f t="shared" si="21"/>
        <v>-427176.18256198347</v>
      </c>
      <c r="AI38" s="254">
        <f t="shared" si="21"/>
        <v>-427176.18256198347</v>
      </c>
      <c r="AJ38" s="254">
        <f t="shared" si="21"/>
        <v>-427176.18256198347</v>
      </c>
      <c r="AK38" s="254">
        <f t="shared" si="21"/>
        <v>-427176.18256198347</v>
      </c>
      <c r="AL38" s="254">
        <f t="shared" si="21"/>
        <v>-427176.18256198347</v>
      </c>
      <c r="AM38" s="254">
        <f t="shared" si="21"/>
        <v>-427176.18256198347</v>
      </c>
      <c r="AN38" s="254">
        <f t="shared" si="21"/>
        <v>-464056.18256198347</v>
      </c>
      <c r="AO38" s="254">
        <f t="shared" si="21"/>
        <v>-800758.25</v>
      </c>
      <c r="AP38" s="254">
        <f t="shared" si="21"/>
        <v>0</v>
      </c>
      <c r="AQ38" s="254">
        <f t="shared" si="21"/>
        <v>0</v>
      </c>
      <c r="AR38" s="254">
        <f t="shared" si="21"/>
        <v>0</v>
      </c>
      <c r="AS38" s="254">
        <f t="shared" si="21"/>
        <v>0</v>
      </c>
      <c r="AT38" s="254">
        <f t="shared" si="21"/>
        <v>0</v>
      </c>
      <c r="AU38" s="254">
        <f t="shared" si="21"/>
        <v>0</v>
      </c>
      <c r="AV38" s="254">
        <f t="shared" si="21"/>
        <v>0</v>
      </c>
      <c r="AW38" s="254">
        <f t="shared" si="21"/>
        <v>0</v>
      </c>
      <c r="AX38" s="254">
        <f t="shared" si="21"/>
        <v>0</v>
      </c>
      <c r="AY38" s="254">
        <f t="shared" si="21"/>
        <v>0</v>
      </c>
      <c r="AZ38" s="254">
        <f t="shared" si="21"/>
        <v>0</v>
      </c>
      <c r="BA38" s="254">
        <f t="shared" si="21"/>
        <v>0</v>
      </c>
      <c r="BB38" s="254">
        <f t="shared" si="21"/>
        <v>0</v>
      </c>
      <c r="BC38" s="254">
        <f t="shared" si="21"/>
        <v>0</v>
      </c>
      <c r="BD38" s="254">
        <f t="shared" si="21"/>
        <v>0</v>
      </c>
      <c r="BE38" s="254">
        <f t="shared" si="21"/>
        <v>0</v>
      </c>
      <c r="BF38" s="254">
        <f t="shared" si="21"/>
        <v>0</v>
      </c>
      <c r="BG38" s="254">
        <f t="shared" si="21"/>
        <v>0</v>
      </c>
      <c r="BH38" s="254">
        <f t="shared" si="21"/>
        <v>0</v>
      </c>
      <c r="BI38" s="254">
        <f t="shared" si="21"/>
        <v>0</v>
      </c>
      <c r="BJ38" s="254">
        <f t="shared" si="21"/>
        <v>0</v>
      </c>
      <c r="BK38" s="254">
        <f t="shared" si="21"/>
        <v>0</v>
      </c>
      <c r="BL38" s="254">
        <f t="shared" si="21"/>
        <v>0</v>
      </c>
      <c r="BM38" s="254">
        <f t="shared" si="21"/>
        <v>0</v>
      </c>
      <c r="BN38" s="254">
        <f t="shared" si="21"/>
        <v>0</v>
      </c>
      <c r="BO38" s="254">
        <f t="shared" si="21"/>
        <v>0</v>
      </c>
      <c r="BP38" s="254">
        <f t="shared" si="21"/>
        <v>0</v>
      </c>
      <c r="BQ38" s="254">
        <f t="shared" si="21"/>
        <v>0</v>
      </c>
      <c r="BR38" s="254">
        <f t="shared" si="21"/>
        <v>0</v>
      </c>
      <c r="BS38" s="254">
        <f t="shared" si="21"/>
        <v>0</v>
      </c>
      <c r="BT38" s="254">
        <f t="shared" si="21"/>
        <v>0</v>
      </c>
      <c r="BU38" s="254">
        <f t="shared" si="21"/>
        <v>0</v>
      </c>
      <c r="BV38" s="254">
        <f t="shared" si="21"/>
        <v>0</v>
      </c>
      <c r="BW38" s="254">
        <f t="shared" si="21"/>
        <v>0</v>
      </c>
      <c r="BX38" s="254">
        <f t="shared" si="21"/>
        <v>0</v>
      </c>
      <c r="BY38" s="256">
        <f>SUM(BY39:BY47)</f>
        <v>-8208492.5844628103</v>
      </c>
      <c r="BZ38" s="564"/>
      <c r="CA38" s="229"/>
      <c r="CB38" s="229"/>
      <c r="CC38" s="229"/>
      <c r="CD38" s="256" t="e">
        <f t="array" aca="1" ref="CD38" ca="1">SUM(INDEX(E38:BX38, , 1):INDEX(E38:BX38, ,MATCH($CD$4, $E$3:$BX$3,0) ))</f>
        <v>#N/A</v>
      </c>
      <c r="CE38" s="564"/>
    </row>
    <row r="39" spans="2:83" ht="15.95" outlineLevel="1">
      <c r="B39" s="569"/>
      <c r="C39" s="268" t="s">
        <v>217</v>
      </c>
      <c r="D39" s="258" t="s">
        <v>191</v>
      </c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/>
      <c r="P39" s="262"/>
      <c r="Q39" s="262">
        <f>-(319440+106480)/1.21</f>
        <v>-352000</v>
      </c>
      <c r="R39" s="262">
        <f t="shared" ref="R39:AN39" si="22">-88000</f>
        <v>-88000</v>
      </c>
      <c r="S39" s="262">
        <f t="shared" si="22"/>
        <v>-88000</v>
      </c>
      <c r="T39" s="262">
        <f t="shared" si="22"/>
        <v>-88000</v>
      </c>
      <c r="U39" s="262">
        <f t="shared" si="22"/>
        <v>-88000</v>
      </c>
      <c r="V39" s="262">
        <f t="shared" si="22"/>
        <v>-88000</v>
      </c>
      <c r="W39" s="262">
        <f t="shared" si="22"/>
        <v>-88000</v>
      </c>
      <c r="X39" s="262">
        <f t="shared" si="22"/>
        <v>-88000</v>
      </c>
      <c r="Y39" s="262">
        <f t="shared" si="22"/>
        <v>-88000</v>
      </c>
      <c r="Z39" s="262">
        <f t="shared" si="22"/>
        <v>-88000</v>
      </c>
      <c r="AA39" s="262">
        <f t="shared" si="22"/>
        <v>-88000</v>
      </c>
      <c r="AB39" s="262">
        <f t="shared" si="22"/>
        <v>-88000</v>
      </c>
      <c r="AC39" s="262">
        <f t="shared" si="22"/>
        <v>-88000</v>
      </c>
      <c r="AD39" s="262">
        <f t="shared" si="22"/>
        <v>-88000</v>
      </c>
      <c r="AE39" s="262">
        <f t="shared" si="22"/>
        <v>-88000</v>
      </c>
      <c r="AF39" s="262">
        <f t="shared" si="22"/>
        <v>-88000</v>
      </c>
      <c r="AG39" s="262">
        <f t="shared" si="22"/>
        <v>-88000</v>
      </c>
      <c r="AH39" s="262">
        <f t="shared" si="22"/>
        <v>-88000</v>
      </c>
      <c r="AI39" s="262">
        <f t="shared" si="22"/>
        <v>-88000</v>
      </c>
      <c r="AJ39" s="262">
        <f t="shared" si="22"/>
        <v>-88000</v>
      </c>
      <c r="AK39" s="262">
        <f t="shared" si="22"/>
        <v>-88000</v>
      </c>
      <c r="AL39" s="262">
        <f t="shared" si="22"/>
        <v>-88000</v>
      </c>
      <c r="AM39" s="262">
        <f t="shared" si="22"/>
        <v>-88000</v>
      </c>
      <c r="AN39" s="262">
        <f t="shared" si="22"/>
        <v>-88000</v>
      </c>
      <c r="AO39" s="262"/>
      <c r="AP39" s="262"/>
      <c r="AQ39" s="262"/>
      <c r="AR39" s="262"/>
      <c r="AS39" s="262"/>
      <c r="AT39" s="262"/>
      <c r="AU39" s="262"/>
      <c r="AV39" s="262"/>
      <c r="AW39" s="262"/>
      <c r="AX39" s="262"/>
      <c r="AY39" s="262"/>
      <c r="AZ39" s="262"/>
      <c r="BA39" s="262"/>
      <c r="BB39" s="262"/>
      <c r="BC39" s="262"/>
      <c r="BD39" s="262"/>
      <c r="BE39" s="262"/>
      <c r="BF39" s="262"/>
      <c r="BG39" s="262"/>
      <c r="BH39" s="262"/>
      <c r="BI39" s="262"/>
      <c r="BJ39" s="262"/>
      <c r="BK39" s="262"/>
      <c r="BL39" s="262"/>
      <c r="BM39" s="262"/>
      <c r="BN39" s="262"/>
      <c r="BO39" s="262"/>
      <c r="BP39" s="262"/>
      <c r="BQ39" s="262"/>
      <c r="BR39" s="262"/>
      <c r="BS39" s="262"/>
      <c r="BT39" s="262"/>
      <c r="BU39" s="262"/>
      <c r="BV39" s="262"/>
      <c r="BW39" s="262"/>
      <c r="BX39" s="271"/>
      <c r="BY39" s="266">
        <f t="shared" ref="BY39:BY47" si="23">SUM(E39:BX39)</f>
        <v>-2376000</v>
      </c>
      <c r="BZ39" s="564"/>
      <c r="CA39" s="229">
        <f>-BY39-BY40</f>
        <v>5968706.0700000003</v>
      </c>
      <c r="CB39" s="229"/>
      <c r="CC39" s="229"/>
      <c r="CD39" s="256" t="e">
        <f t="shared" ref="CD39:CD41" ca="1" si="24">SUM(INDEX(AC39:BX39, , 1):INDEX(AC39:BX39, ,MATCH(#REF!, $E$3:$BX$3,0) ))</f>
        <v>#REF!</v>
      </c>
      <c r="CE39" s="564"/>
    </row>
    <row r="40" spans="2:83" ht="15.95" outlineLevel="1">
      <c r="B40" s="569"/>
      <c r="C40" s="268" t="s">
        <v>218</v>
      </c>
      <c r="D40" s="258" t="s">
        <v>191</v>
      </c>
      <c r="E40" s="262"/>
      <c r="F40" s="262"/>
      <c r="G40" s="262"/>
      <c r="H40" s="262"/>
      <c r="I40" s="262"/>
      <c r="J40" s="262"/>
      <c r="K40" s="262"/>
      <c r="L40" s="262"/>
      <c r="M40" s="262"/>
      <c r="N40" s="262">
        <f>-Businessplan_prodej!$F$56-200</f>
        <v>-200</v>
      </c>
      <c r="O40" s="262"/>
      <c r="P40" s="262"/>
      <c r="Q40" s="262"/>
      <c r="R40" s="262">
        <f t="shared" ref="R40:AB40" si="25">-75893.99</f>
        <v>-75893.990000000005</v>
      </c>
      <c r="S40" s="262">
        <f t="shared" si="25"/>
        <v>-75893.990000000005</v>
      </c>
      <c r="T40" s="262">
        <f t="shared" si="25"/>
        <v>-75893.990000000005</v>
      </c>
      <c r="U40" s="262">
        <f t="shared" si="25"/>
        <v>-75893.990000000005</v>
      </c>
      <c r="V40" s="262">
        <f t="shared" si="25"/>
        <v>-75893.990000000005</v>
      </c>
      <c r="W40" s="262">
        <f t="shared" si="25"/>
        <v>-75893.990000000005</v>
      </c>
      <c r="X40" s="262">
        <f t="shared" si="25"/>
        <v>-75893.990000000005</v>
      </c>
      <c r="Y40" s="262">
        <f t="shared" si="25"/>
        <v>-75893.990000000005</v>
      </c>
      <c r="Z40" s="262">
        <f t="shared" si="25"/>
        <v>-75893.990000000005</v>
      </c>
      <c r="AA40" s="262">
        <f t="shared" si="25"/>
        <v>-75893.990000000005</v>
      </c>
      <c r="AB40" s="262">
        <f t="shared" si="25"/>
        <v>-75893.990000000005</v>
      </c>
      <c r="AC40" s="262">
        <f t="shared" ref="AC40:AG40" si="26">-94867.48</f>
        <v>-94867.48</v>
      </c>
      <c r="AD40" s="262">
        <f t="shared" si="26"/>
        <v>-94867.48</v>
      </c>
      <c r="AE40" s="262">
        <f t="shared" si="26"/>
        <v>-94867.48</v>
      </c>
      <c r="AF40" s="262">
        <f t="shared" si="26"/>
        <v>-94867.48</v>
      </c>
      <c r="AG40" s="262">
        <f t="shared" si="26"/>
        <v>-94867.48</v>
      </c>
      <c r="AH40" s="272">
        <f t="shared" ref="AH40:AM40" si="27">-333933.54</f>
        <v>-333933.53999999998</v>
      </c>
      <c r="AI40" s="272">
        <f t="shared" si="27"/>
        <v>-333933.53999999998</v>
      </c>
      <c r="AJ40" s="272">
        <f t="shared" si="27"/>
        <v>-333933.53999999998</v>
      </c>
      <c r="AK40" s="272">
        <f t="shared" si="27"/>
        <v>-333933.53999999998</v>
      </c>
      <c r="AL40" s="272">
        <f t="shared" si="27"/>
        <v>-333933.53999999998</v>
      </c>
      <c r="AM40" s="272">
        <f t="shared" si="27"/>
        <v>-333933.53999999998</v>
      </c>
      <c r="AN40" s="272">
        <f>-333933.54+54200</f>
        <v>-279733.53999999998</v>
      </c>
      <c r="AO40" s="262"/>
      <c r="AP40" s="262"/>
      <c r="AQ40" s="262"/>
      <c r="AR40" s="262"/>
      <c r="AS40" s="262"/>
      <c r="AT40" s="262"/>
      <c r="AU40" s="262"/>
      <c r="AV40" s="262"/>
      <c r="AW40" s="262"/>
      <c r="AX40" s="262"/>
      <c r="AY40" s="262"/>
      <c r="AZ40" s="262"/>
      <c r="BA40" s="262"/>
      <c r="BB40" s="262"/>
      <c r="BC40" s="262"/>
      <c r="BD40" s="262"/>
      <c r="BE40" s="262"/>
      <c r="BF40" s="262"/>
      <c r="BG40" s="262"/>
      <c r="BH40" s="262"/>
      <c r="BI40" s="262"/>
      <c r="BJ40" s="262"/>
      <c r="BK40" s="262"/>
      <c r="BL40" s="262"/>
      <c r="BM40" s="262"/>
      <c r="BN40" s="262"/>
      <c r="BO40" s="262"/>
      <c r="BP40" s="262"/>
      <c r="BQ40" s="262"/>
      <c r="BR40" s="262"/>
      <c r="BS40" s="262"/>
      <c r="BT40" s="262"/>
      <c r="BU40" s="262"/>
      <c r="BV40" s="262"/>
      <c r="BW40" s="262"/>
      <c r="BX40" s="271"/>
      <c r="BY40" s="267">
        <f t="shared" si="23"/>
        <v>-3592706.0700000003</v>
      </c>
      <c r="BZ40" s="564"/>
      <c r="CA40" s="229">
        <f>2616000</f>
        <v>2616000</v>
      </c>
      <c r="CB40" s="229">
        <f>-BY40-2616000</f>
        <v>976706.0700000003</v>
      </c>
      <c r="CC40" s="229"/>
      <c r="CD40" s="256" t="e">
        <f t="shared" ca="1" si="24"/>
        <v>#REF!</v>
      </c>
      <c r="CE40" s="564"/>
    </row>
    <row r="41" spans="2:83" ht="15.95" outlineLevel="1">
      <c r="B41" s="569"/>
      <c r="C41" s="268" t="s">
        <v>219</v>
      </c>
      <c r="D41" s="258" t="s">
        <v>191</v>
      </c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71"/>
      <c r="BY41" s="267">
        <f t="shared" si="23"/>
        <v>0</v>
      </c>
      <c r="BZ41" s="564"/>
      <c r="CA41" s="229">
        <f>CA39-CA40</f>
        <v>3352706.0700000003</v>
      </c>
      <c r="CB41" s="229"/>
      <c r="CC41" s="229"/>
      <c r="CD41" s="256" t="e">
        <f t="shared" ca="1" si="24"/>
        <v>#REF!</v>
      </c>
      <c r="CE41" s="564"/>
    </row>
    <row r="42" spans="2:83" ht="15.95" outlineLevel="1">
      <c r="B42" s="569"/>
      <c r="C42" s="268" t="s">
        <v>220</v>
      </c>
      <c r="D42" s="258" t="s">
        <v>191</v>
      </c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73"/>
      <c r="T42" s="262"/>
      <c r="U42" s="262"/>
      <c r="V42" s="262"/>
      <c r="W42" s="262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262"/>
      <c r="BD42" s="262"/>
      <c r="BE42" s="262"/>
      <c r="BF42" s="262"/>
      <c r="BG42" s="262"/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71"/>
      <c r="BY42" s="267">
        <f t="shared" si="23"/>
        <v>0</v>
      </c>
      <c r="BZ42" s="564"/>
      <c r="CA42" s="229"/>
      <c r="CB42" s="229">
        <f>CB40-BY39</f>
        <v>3352706.0700000003</v>
      </c>
      <c r="CC42" s="229"/>
      <c r="CD42" s="256"/>
      <c r="CE42" s="564"/>
    </row>
    <row r="43" spans="2:83" ht="15.95" outlineLevel="1">
      <c r="B43" s="569"/>
      <c r="C43" s="257" t="s">
        <v>221</v>
      </c>
      <c r="D43" s="258" t="s">
        <v>191</v>
      </c>
      <c r="E43" s="259"/>
      <c r="F43" s="259"/>
      <c r="G43" s="259"/>
      <c r="H43" s="259"/>
      <c r="I43" s="259"/>
      <c r="J43" s="259"/>
      <c r="K43" s="259"/>
      <c r="L43" s="259">
        <f>-6028</f>
        <v>-6028</v>
      </c>
      <c r="M43" s="259"/>
      <c r="N43" s="259"/>
      <c r="O43" s="259">
        <f>(-20570-7865)/1.21</f>
        <v>-23500</v>
      </c>
      <c r="P43" s="259">
        <f>-2921/1.21</f>
        <v>-2414.0495867768595</v>
      </c>
      <c r="Q43" s="259"/>
      <c r="R43" s="259">
        <f>-4200/1.21</f>
        <v>-3471.0743801652893</v>
      </c>
      <c r="S43" s="259">
        <f>-8433.71/1.21</f>
        <v>-6970.0082644628092</v>
      </c>
      <c r="T43" s="259">
        <f>-(Businessplan_prodej!$F$64+SUM($E$43:$P$43))/24</f>
        <v>-4994.0812672176307</v>
      </c>
      <c r="U43" s="259">
        <f>-(Businessplan_prodej!$F$64+SUM($E$43:$P$43))/24</f>
        <v>-4994.0812672176307</v>
      </c>
      <c r="V43" s="259">
        <f>-(Businessplan_prodej!$F$64+SUM($E$43:$P$43))/24</f>
        <v>-4994.0812672176307</v>
      </c>
      <c r="W43" s="259">
        <f>-(Businessplan_prodej!$F$64+SUM($E$43:$P$43))/24</f>
        <v>-4994.0812672176307</v>
      </c>
      <c r="X43" s="259">
        <f>-(Businessplan_prodej!$F$64+SUM($E$43:$P$43))/24</f>
        <v>-4994.0812672176307</v>
      </c>
      <c r="Y43" s="259">
        <f>-(Businessplan_prodej!$F$64+SUM($E$43:$P$43))/24</f>
        <v>-4994.0812672176307</v>
      </c>
      <c r="Z43" s="259">
        <f>-(Businessplan_prodej!$F$64+SUM($E$43:$P$43))/24</f>
        <v>-4994.0812672176307</v>
      </c>
      <c r="AA43" s="259">
        <f>-(Businessplan_prodej!$F$64+SUM($E$43:$P$43))/24</f>
        <v>-4994.0812672176307</v>
      </c>
      <c r="AB43" s="259">
        <f>-(Businessplan_prodej!$F$64+SUM($E$43:$P$43))/24</f>
        <v>-4994.0812672176307</v>
      </c>
      <c r="AC43" s="259">
        <f>-(Businessplan_prodej!$F$64+SUM($E$43:$P$43))/24</f>
        <v>-4994.0812672176307</v>
      </c>
      <c r="AD43" s="259">
        <f>-(Businessplan_prodej!$F$64+SUM($E$43:$P$43))/24</f>
        <v>-4994.0812672176307</v>
      </c>
      <c r="AE43" s="259">
        <f>-(Businessplan_prodej!$F$64+SUM($E$43:$P$43))/24</f>
        <v>-4994.0812672176307</v>
      </c>
      <c r="AF43" s="259">
        <f>-(Businessplan_prodej!$F$64+SUM($E$43:$P$43))/24</f>
        <v>-4994.0812672176307</v>
      </c>
      <c r="AG43" s="259">
        <f>-(Businessplan_prodej!$F$64+SUM($E$43:$P$43))/24</f>
        <v>-4994.0812672176307</v>
      </c>
      <c r="AH43" s="259">
        <f>-(Businessplan_prodej!$F$64+SUM($E$43:$P$43))/24</f>
        <v>-4994.0812672176307</v>
      </c>
      <c r="AI43" s="259">
        <f>-(Businessplan_prodej!$F$64+SUM($E$43:$P$43))/24</f>
        <v>-4994.0812672176307</v>
      </c>
      <c r="AJ43" s="259">
        <f>-(Businessplan_prodej!$F$64+SUM($E$43:$P$43))/24</f>
        <v>-4994.0812672176307</v>
      </c>
      <c r="AK43" s="259">
        <f>-(Businessplan_prodej!$F$64+SUM($E$43:$P$43))/24</f>
        <v>-4994.0812672176307</v>
      </c>
      <c r="AL43" s="259">
        <f>-(Businessplan_prodej!$F$64+SUM($E$43:$P$43))/24</f>
        <v>-4994.0812672176307</v>
      </c>
      <c r="AM43" s="259">
        <f>-(Businessplan_prodej!$F$64+SUM($E$43:$P$43))/24</f>
        <v>-4994.0812672176307</v>
      </c>
      <c r="AN43" s="259">
        <f>-(Businessplan_prodej!$F$64+SUM($E$43:$P$43))/24</f>
        <v>-4994.0812672176307</v>
      </c>
      <c r="AO43" s="259"/>
      <c r="AP43" s="259"/>
      <c r="AQ43" s="259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59"/>
      <c r="BO43" s="259"/>
      <c r="BP43" s="259"/>
      <c r="BQ43" s="259"/>
      <c r="BR43" s="259"/>
      <c r="BS43" s="259"/>
      <c r="BT43" s="259"/>
      <c r="BU43" s="259"/>
      <c r="BV43" s="259"/>
      <c r="BW43" s="259"/>
      <c r="BX43" s="265"/>
      <c r="BY43" s="267">
        <f t="shared" si="23"/>
        <v>-147258.83884297518</v>
      </c>
      <c r="BZ43" s="564"/>
      <c r="CA43" s="229"/>
      <c r="CB43" s="229"/>
      <c r="CC43" s="229"/>
      <c r="CD43" s="256" t="e">
        <f t="shared" ref="CD43:CD44" ca="1" si="28">SUM(INDEX(AC43:BX43, , 1):INDEX(AC43:BX43, ,MATCH(#REF!, $E$3:$BX$3,0) ))</f>
        <v>#REF!</v>
      </c>
      <c r="CE43" s="564"/>
    </row>
    <row r="44" spans="2:83" ht="15.95" outlineLevel="1">
      <c r="B44" s="569"/>
      <c r="C44" s="257" t="s">
        <v>222</v>
      </c>
      <c r="D44" s="258" t="s">
        <v>191</v>
      </c>
      <c r="E44" s="259"/>
      <c r="F44" s="259"/>
      <c r="G44" s="259"/>
      <c r="H44" s="259"/>
      <c r="I44" s="259">
        <f>-87324</f>
        <v>-87324</v>
      </c>
      <c r="J44" s="259"/>
      <c r="K44" s="259"/>
      <c r="L44" s="259">
        <f>-17394</f>
        <v>-17394</v>
      </c>
      <c r="M44" s="259"/>
      <c r="N44" s="259">
        <f>-11400</f>
        <v>-11400</v>
      </c>
      <c r="O44" s="259">
        <f>-2000/1.21</f>
        <v>-1652.8925619834711</v>
      </c>
      <c r="P44" s="259">
        <f>-33957/1.21</f>
        <v>-28063.636363636364</v>
      </c>
      <c r="Q44" s="259">
        <f>-9136/1.21</f>
        <v>-7550.4132231404965</v>
      </c>
      <c r="R44" s="259">
        <f>-15488/1.21</f>
        <v>-12800</v>
      </c>
      <c r="S44" s="259">
        <f>-1000/1.21</f>
        <v>-826.44628099173553</v>
      </c>
      <c r="T44" s="259">
        <f>(-Businessplan_prodej!$F$65-SUM($I$44:$P$44))/24</f>
        <v>-248.56129476583979</v>
      </c>
      <c r="U44" s="259">
        <f>(-Businessplan_prodej!$F$65-SUM($I$44:$P$44))/24</f>
        <v>-248.56129476583979</v>
      </c>
      <c r="V44" s="259">
        <f>(-Businessplan_prodej!$F$65-SUM($I$44:$P$44))/24</f>
        <v>-248.56129476583979</v>
      </c>
      <c r="W44" s="259">
        <f>(-Businessplan_prodej!$F$65-SUM($I$44:$P$44))/24</f>
        <v>-248.56129476583979</v>
      </c>
      <c r="X44" s="259">
        <f>(-Businessplan_prodej!$F$65-SUM($I$44:$P$44))/24</f>
        <v>-248.56129476583979</v>
      </c>
      <c r="Y44" s="259">
        <f>(-Businessplan_prodej!$F$65-SUM($I$44:$P$44))/24</f>
        <v>-248.56129476583979</v>
      </c>
      <c r="Z44" s="259">
        <f>(-Businessplan_prodej!$F$65-SUM($I$44:$P$44))/24</f>
        <v>-248.56129476583979</v>
      </c>
      <c r="AA44" s="259">
        <f>(-Businessplan_prodej!$F$65-SUM($I$44:$P$44))/24</f>
        <v>-248.56129476583979</v>
      </c>
      <c r="AB44" s="259">
        <f>(-Businessplan_prodej!$F$65-SUM($I$44:$P$44))/24</f>
        <v>-248.56129476583979</v>
      </c>
      <c r="AC44" s="259">
        <f>(-Businessplan_prodej!$F$65-SUM($I$44:$P$44))/24</f>
        <v>-248.56129476583979</v>
      </c>
      <c r="AD44" s="259">
        <f>(-Businessplan_prodej!$F$65-SUM($I$44:$P$44))/24</f>
        <v>-248.56129476583979</v>
      </c>
      <c r="AE44" s="259">
        <f>(-Businessplan_prodej!$F$65-SUM($I$44:$P$44))/24</f>
        <v>-248.56129476583979</v>
      </c>
      <c r="AF44" s="259">
        <f>(-Businessplan_prodej!$F$65-SUM($I$44:$P$44))/24</f>
        <v>-248.56129476583979</v>
      </c>
      <c r="AG44" s="259">
        <f>(-Businessplan_prodej!$F$65-SUM($I$44:$P$44))/24</f>
        <v>-248.56129476583979</v>
      </c>
      <c r="AH44" s="259">
        <f>(-Businessplan_prodej!$F$65-SUM($I$44:$P$44))/24</f>
        <v>-248.56129476583979</v>
      </c>
      <c r="AI44" s="259">
        <f>(-Businessplan_prodej!$F$65-SUM($I$44:$P$44))/24</f>
        <v>-248.56129476583979</v>
      </c>
      <c r="AJ44" s="259">
        <f>(-Businessplan_prodej!$F$65-SUM($I$44:$P$44))/24</f>
        <v>-248.56129476583979</v>
      </c>
      <c r="AK44" s="259">
        <f>(-Businessplan_prodej!$F$65-SUM($I$44:$P$44))/24</f>
        <v>-248.56129476583979</v>
      </c>
      <c r="AL44" s="259">
        <f>(-Businessplan_prodej!$F$65-SUM($I$44:$P$44))/24</f>
        <v>-248.56129476583979</v>
      </c>
      <c r="AM44" s="259">
        <f>(-Businessplan_prodej!$F$65-SUM($I$44:$P$44))/24</f>
        <v>-248.56129476583979</v>
      </c>
      <c r="AN44" s="259">
        <f>(-Businessplan_prodej!$F$65-SUM($I$44:$P$44))/24</f>
        <v>-248.56129476583979</v>
      </c>
      <c r="AO44" s="259"/>
      <c r="AP44" s="259"/>
      <c r="AQ44" s="259"/>
      <c r="AR44" s="259"/>
      <c r="AS44" s="259"/>
      <c r="AT44" s="259"/>
      <c r="AU44" s="259"/>
      <c r="AV44" s="259"/>
      <c r="AW44" s="259"/>
      <c r="AX44" s="259"/>
      <c r="AY44" s="259"/>
      <c r="AZ44" s="259"/>
      <c r="BA44" s="259"/>
      <c r="BB44" s="259"/>
      <c r="BC44" s="259"/>
      <c r="BD44" s="259"/>
      <c r="BE44" s="259"/>
      <c r="BF44" s="259"/>
      <c r="BG44" s="259"/>
      <c r="BH44" s="259"/>
      <c r="BI44" s="259"/>
      <c r="BJ44" s="259"/>
      <c r="BK44" s="259"/>
      <c r="BL44" s="259"/>
      <c r="BM44" s="259"/>
      <c r="BN44" s="259"/>
      <c r="BO44" s="259"/>
      <c r="BP44" s="259"/>
      <c r="BQ44" s="259"/>
      <c r="BR44" s="259"/>
      <c r="BS44" s="259"/>
      <c r="BT44" s="259"/>
      <c r="BU44" s="259"/>
      <c r="BV44" s="259"/>
      <c r="BW44" s="259"/>
      <c r="BX44" s="265"/>
      <c r="BY44" s="267">
        <f t="shared" si="23"/>
        <v>-172231.17561983498</v>
      </c>
      <c r="BZ44" s="564"/>
      <c r="CA44" s="229"/>
      <c r="CB44" s="229"/>
      <c r="CC44" s="229"/>
      <c r="CD44" s="256" t="e">
        <f t="shared" ca="1" si="28"/>
        <v>#REF!</v>
      </c>
      <c r="CE44" s="564"/>
    </row>
    <row r="45" spans="2:83" ht="14.25" customHeight="1" outlineLevel="1">
      <c r="B45" s="569"/>
      <c r="C45" s="257" t="s">
        <v>223</v>
      </c>
      <c r="D45" s="258" t="s">
        <v>191</v>
      </c>
      <c r="E45" s="259"/>
      <c r="F45" s="259"/>
      <c r="G45" s="259"/>
      <c r="H45" s="259"/>
      <c r="I45" s="259"/>
      <c r="J45" s="259"/>
      <c r="K45" s="259"/>
      <c r="L45" s="259"/>
      <c r="M45" s="259"/>
      <c r="N45" s="259"/>
      <c r="O45" s="259"/>
      <c r="P45" s="259"/>
      <c r="Q45" s="259"/>
      <c r="R45" s="259"/>
      <c r="S45" s="259"/>
      <c r="T45" s="259"/>
      <c r="U45" s="259">
        <f>-Businessplan_prodej!$F$66*0.3</f>
        <v>-68310</v>
      </c>
      <c r="V45" s="259"/>
      <c r="W45" s="259">
        <f>-Businessplan_prodej!$F$66*0.3</f>
        <v>-68310</v>
      </c>
      <c r="X45" s="259"/>
      <c r="Y45" s="259"/>
      <c r="Z45" s="259"/>
      <c r="AA45" s="259"/>
      <c r="AB45" s="259"/>
      <c r="AC45" s="259"/>
      <c r="AD45" s="259"/>
      <c r="AE45" s="259"/>
      <c r="AF45" s="259"/>
      <c r="AG45" s="259"/>
      <c r="AH45" s="259"/>
      <c r="AI45" s="259"/>
      <c r="AJ45" s="259"/>
      <c r="AK45" s="259"/>
      <c r="AL45" s="259"/>
      <c r="AM45" s="259"/>
      <c r="AN45" s="259">
        <f>-Businessplan_prodej!$F$66*0.2</f>
        <v>-45540</v>
      </c>
      <c r="AO45" s="259">
        <f>-Businessplan_prodej!$F$66*0.2</f>
        <v>-45540</v>
      </c>
      <c r="AP45" s="259"/>
      <c r="AQ45" s="259"/>
      <c r="AR45" s="259"/>
      <c r="AS45" s="259"/>
      <c r="AT45" s="259"/>
      <c r="AU45" s="259"/>
      <c r="AV45" s="259"/>
      <c r="AW45" s="259"/>
      <c r="AX45" s="259"/>
      <c r="AY45" s="259"/>
      <c r="AZ45" s="259"/>
      <c r="BA45" s="259"/>
      <c r="BB45" s="259"/>
      <c r="BC45" s="259"/>
      <c r="BD45" s="259"/>
      <c r="BE45" s="259"/>
      <c r="BF45" s="259"/>
      <c r="BG45" s="259"/>
      <c r="BH45" s="259"/>
      <c r="BI45" s="259"/>
      <c r="BJ45" s="259"/>
      <c r="BK45" s="259"/>
      <c r="BL45" s="259"/>
      <c r="BM45" s="259"/>
      <c r="BN45" s="259"/>
      <c r="BO45" s="259"/>
      <c r="BP45" s="259"/>
      <c r="BQ45" s="259"/>
      <c r="BR45" s="259"/>
      <c r="BS45" s="259"/>
      <c r="BT45" s="259"/>
      <c r="BU45" s="259"/>
      <c r="BV45" s="259"/>
      <c r="BW45" s="259"/>
      <c r="BX45" s="265"/>
      <c r="BY45" s="267">
        <f t="shared" si="23"/>
        <v>-227700</v>
      </c>
      <c r="BZ45" s="564"/>
      <c r="CA45" s="229"/>
      <c r="CB45" s="229"/>
      <c r="CC45" s="229"/>
      <c r="CD45" s="256" t="e">
        <f t="shared" ref="CD45:CD47" ca="1" si="29">SUM(INDEX(AC45:BX45, , 1):INDEX(AC45:BX45, ,MATCH(CD1, $E$3:$BX$3,0) ))</f>
        <v>#N/A</v>
      </c>
      <c r="CE45" s="564"/>
    </row>
    <row r="46" spans="2:83" ht="14.25" customHeight="1" outlineLevel="1">
      <c r="B46" s="569"/>
      <c r="C46" s="257" t="s">
        <v>224</v>
      </c>
      <c r="D46" s="258" t="s">
        <v>191</v>
      </c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  <c r="P46" s="259"/>
      <c r="Q46" s="259"/>
      <c r="R46" s="259"/>
      <c r="S46" s="259"/>
      <c r="T46" s="259"/>
      <c r="U46" s="259"/>
      <c r="V46" s="259">
        <f>-Businessplan_prodej!$F$67*0.4</f>
        <v>-91080</v>
      </c>
      <c r="W46" s="259"/>
      <c r="X46" s="259"/>
      <c r="Y46" s="259"/>
      <c r="Z46" s="259"/>
      <c r="AA46" s="259"/>
      <c r="AB46" s="259"/>
      <c r="AC46" s="259"/>
      <c r="AD46" s="259"/>
      <c r="AE46" s="259"/>
      <c r="AF46" s="259"/>
      <c r="AG46" s="259">
        <f>-Businessplan_prodej!$F$67*0.4</f>
        <v>-91080</v>
      </c>
      <c r="AH46" s="259"/>
      <c r="AI46" s="259"/>
      <c r="AJ46" s="259"/>
      <c r="AK46" s="259"/>
      <c r="AL46" s="259"/>
      <c r="AM46" s="259"/>
      <c r="AN46" s="259">
        <f>-Businessplan_prodej!$F$67*0.2</f>
        <v>-45540</v>
      </c>
      <c r="AO46" s="259">
        <f>-Businessplan_prodej!$F$67*0.2</f>
        <v>-45540</v>
      </c>
      <c r="AP46" s="259"/>
      <c r="AQ46" s="259"/>
      <c r="AR46" s="259"/>
      <c r="AS46" s="259"/>
      <c r="AT46" s="259"/>
      <c r="AU46" s="259"/>
      <c r="AV46" s="259"/>
      <c r="AW46" s="259"/>
      <c r="AX46" s="259"/>
      <c r="AY46" s="259"/>
      <c r="AZ46" s="259"/>
      <c r="BA46" s="259"/>
      <c r="BB46" s="259"/>
      <c r="BC46" s="259"/>
      <c r="BD46" s="259"/>
      <c r="BE46" s="259"/>
      <c r="BF46" s="259"/>
      <c r="BG46" s="259"/>
      <c r="BH46" s="259"/>
      <c r="BI46" s="259"/>
      <c r="BJ46" s="259"/>
      <c r="BK46" s="259"/>
      <c r="BL46" s="259"/>
      <c r="BM46" s="259"/>
      <c r="BN46" s="259"/>
      <c r="BO46" s="259"/>
      <c r="BP46" s="259"/>
      <c r="BQ46" s="259"/>
      <c r="BR46" s="259"/>
      <c r="BS46" s="259"/>
      <c r="BT46" s="259"/>
      <c r="BU46" s="259"/>
      <c r="BV46" s="259"/>
      <c r="BW46" s="259"/>
      <c r="BX46" s="265"/>
      <c r="BY46" s="267">
        <f t="shared" si="23"/>
        <v>-273240</v>
      </c>
      <c r="BZ46" s="564"/>
      <c r="CA46" s="229"/>
      <c r="CB46" s="229"/>
      <c r="CC46" s="229"/>
      <c r="CD46" s="256" t="e">
        <f t="shared" ca="1" si="29"/>
        <v>#N/A</v>
      </c>
      <c r="CE46" s="564"/>
    </row>
    <row r="47" spans="2:83" ht="14.25" customHeight="1" outlineLevel="1">
      <c r="B47" s="569"/>
      <c r="C47" s="257" t="s">
        <v>225</v>
      </c>
      <c r="D47" s="261" t="s">
        <v>191</v>
      </c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>
        <f>-Businessplan_prodej!$F$68/2</f>
        <v>-709678.25</v>
      </c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9"/>
      <c r="AL47" s="259"/>
      <c r="AM47" s="259"/>
      <c r="AN47" s="259"/>
      <c r="AO47" s="259">
        <f>-Businessplan_prodej!$F$68/2</f>
        <v>-709678.25</v>
      </c>
      <c r="AP47" s="259"/>
      <c r="AQ47" s="259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59"/>
      <c r="BR47" s="259"/>
      <c r="BS47" s="259"/>
      <c r="BT47" s="259"/>
      <c r="BU47" s="259"/>
      <c r="BV47" s="259"/>
      <c r="BW47" s="259"/>
      <c r="BX47" s="265"/>
      <c r="BY47" s="267">
        <f t="shared" si="23"/>
        <v>-1419356.5</v>
      </c>
      <c r="BZ47" s="564"/>
      <c r="CA47" s="229"/>
      <c r="CB47" s="229"/>
      <c r="CC47" s="229"/>
      <c r="CD47" s="256" t="e">
        <f t="shared" ca="1" si="29"/>
        <v>#N/A</v>
      </c>
      <c r="CE47" s="564"/>
    </row>
    <row r="48" spans="2:83" ht="15.95">
      <c r="B48" s="569"/>
      <c r="C48" s="252" t="s">
        <v>226</v>
      </c>
      <c r="D48" s="253"/>
      <c r="E48" s="254">
        <f t="shared" ref="E48:BX48" si="30">SUM(E49:E53)</f>
        <v>0</v>
      </c>
      <c r="F48" s="254">
        <f t="shared" si="30"/>
        <v>0</v>
      </c>
      <c r="G48" s="254">
        <f t="shared" si="30"/>
        <v>0</v>
      </c>
      <c r="H48" s="254">
        <f t="shared" si="30"/>
        <v>0</v>
      </c>
      <c r="I48" s="254">
        <f t="shared" si="30"/>
        <v>0</v>
      </c>
      <c r="J48" s="254">
        <f t="shared" si="30"/>
        <v>0</v>
      </c>
      <c r="K48" s="254">
        <f t="shared" si="30"/>
        <v>-600</v>
      </c>
      <c r="L48" s="254">
        <f t="shared" si="30"/>
        <v>-699.1</v>
      </c>
      <c r="M48" s="254">
        <f t="shared" si="30"/>
        <v>-607.44000000000005</v>
      </c>
      <c r="N48" s="254">
        <f t="shared" si="30"/>
        <v>-621</v>
      </c>
      <c r="O48" s="254">
        <f t="shared" si="30"/>
        <v>-935</v>
      </c>
      <c r="P48" s="254">
        <f t="shared" si="30"/>
        <v>-921</v>
      </c>
      <c r="Q48" s="254">
        <f t="shared" si="30"/>
        <v>-935</v>
      </c>
      <c r="R48" s="254">
        <f t="shared" si="30"/>
        <v>-628</v>
      </c>
      <c r="S48" s="254">
        <f t="shared" si="30"/>
        <v>-635</v>
      </c>
      <c r="T48" s="254">
        <f t="shared" si="30"/>
        <v>-1000</v>
      </c>
      <c r="U48" s="254">
        <f t="shared" si="30"/>
        <v>-1000</v>
      </c>
      <c r="V48" s="254">
        <f t="shared" si="30"/>
        <v>-1000</v>
      </c>
      <c r="W48" s="254">
        <f t="shared" si="30"/>
        <v>-1000</v>
      </c>
      <c r="X48" s="254">
        <f t="shared" si="30"/>
        <v>-1000</v>
      </c>
      <c r="Y48" s="254">
        <f t="shared" si="30"/>
        <v>-1000</v>
      </c>
      <c r="Z48" s="254">
        <f t="shared" si="30"/>
        <v>-1000</v>
      </c>
      <c r="AA48" s="254">
        <f t="shared" si="30"/>
        <v>-1000</v>
      </c>
      <c r="AB48" s="254">
        <f t="shared" si="30"/>
        <v>-1000</v>
      </c>
      <c r="AC48" s="254">
        <f t="shared" si="30"/>
        <v>-1000</v>
      </c>
      <c r="AD48" s="254">
        <f t="shared" si="30"/>
        <v>-1000</v>
      </c>
      <c r="AE48" s="254">
        <f t="shared" si="30"/>
        <v>-1000</v>
      </c>
      <c r="AF48" s="254">
        <f t="shared" si="30"/>
        <v>-1000</v>
      </c>
      <c r="AG48" s="254">
        <f t="shared" si="30"/>
        <v>-1000</v>
      </c>
      <c r="AH48" s="254">
        <f t="shared" si="30"/>
        <v>-1000</v>
      </c>
      <c r="AI48" s="254">
        <f t="shared" si="30"/>
        <v>-134869.03677273751</v>
      </c>
      <c r="AJ48" s="254">
        <f t="shared" si="30"/>
        <v>-1000</v>
      </c>
      <c r="AK48" s="254">
        <f t="shared" si="30"/>
        <v>-1000</v>
      </c>
      <c r="AL48" s="254">
        <f t="shared" si="30"/>
        <v>-1000</v>
      </c>
      <c r="AM48" s="254">
        <f t="shared" si="30"/>
        <v>-1000</v>
      </c>
      <c r="AN48" s="254">
        <f t="shared" si="30"/>
        <v>-1000</v>
      </c>
      <c r="AO48" s="254">
        <f t="shared" si="30"/>
        <v>-1000</v>
      </c>
      <c r="AP48" s="254">
        <f t="shared" si="30"/>
        <v>0</v>
      </c>
      <c r="AQ48" s="254">
        <f t="shared" si="30"/>
        <v>0</v>
      </c>
      <c r="AR48" s="254">
        <f t="shared" si="30"/>
        <v>0</v>
      </c>
      <c r="AS48" s="254">
        <f t="shared" si="30"/>
        <v>0</v>
      </c>
      <c r="AT48" s="254">
        <f t="shared" si="30"/>
        <v>0</v>
      </c>
      <c r="AU48" s="254">
        <f t="shared" si="30"/>
        <v>0</v>
      </c>
      <c r="AV48" s="254">
        <f t="shared" si="30"/>
        <v>0</v>
      </c>
      <c r="AW48" s="254">
        <f t="shared" si="30"/>
        <v>0</v>
      </c>
      <c r="AX48" s="254">
        <f t="shared" si="30"/>
        <v>0</v>
      </c>
      <c r="AY48" s="254">
        <f t="shared" si="30"/>
        <v>0</v>
      </c>
      <c r="AZ48" s="254">
        <f t="shared" si="30"/>
        <v>0</v>
      </c>
      <c r="BA48" s="254">
        <f t="shared" si="30"/>
        <v>0</v>
      </c>
      <c r="BB48" s="254">
        <f t="shared" si="30"/>
        <v>0</v>
      </c>
      <c r="BC48" s="254">
        <f t="shared" si="30"/>
        <v>0</v>
      </c>
      <c r="BD48" s="254">
        <f t="shared" si="30"/>
        <v>0</v>
      </c>
      <c r="BE48" s="254">
        <f t="shared" si="30"/>
        <v>0</v>
      </c>
      <c r="BF48" s="254">
        <f t="shared" si="30"/>
        <v>0</v>
      </c>
      <c r="BG48" s="254">
        <f t="shared" si="30"/>
        <v>0</v>
      </c>
      <c r="BH48" s="254">
        <f t="shared" si="30"/>
        <v>0</v>
      </c>
      <c r="BI48" s="254">
        <f t="shared" si="30"/>
        <v>0</v>
      </c>
      <c r="BJ48" s="254">
        <f t="shared" si="30"/>
        <v>0</v>
      </c>
      <c r="BK48" s="254">
        <f t="shared" si="30"/>
        <v>0</v>
      </c>
      <c r="BL48" s="254">
        <f t="shared" si="30"/>
        <v>0</v>
      </c>
      <c r="BM48" s="254">
        <f t="shared" si="30"/>
        <v>0</v>
      </c>
      <c r="BN48" s="254">
        <f t="shared" si="30"/>
        <v>0</v>
      </c>
      <c r="BO48" s="254">
        <f t="shared" si="30"/>
        <v>0</v>
      </c>
      <c r="BP48" s="254">
        <f t="shared" si="30"/>
        <v>0</v>
      </c>
      <c r="BQ48" s="254">
        <f t="shared" si="30"/>
        <v>0</v>
      </c>
      <c r="BR48" s="254">
        <f t="shared" si="30"/>
        <v>0</v>
      </c>
      <c r="BS48" s="254">
        <f t="shared" si="30"/>
        <v>0</v>
      </c>
      <c r="BT48" s="254">
        <f t="shared" si="30"/>
        <v>0</v>
      </c>
      <c r="BU48" s="254">
        <f t="shared" si="30"/>
        <v>0</v>
      </c>
      <c r="BV48" s="254">
        <f t="shared" si="30"/>
        <v>0</v>
      </c>
      <c r="BW48" s="254">
        <f t="shared" si="30"/>
        <v>0</v>
      </c>
      <c r="BX48" s="254">
        <f t="shared" si="30"/>
        <v>0</v>
      </c>
      <c r="BY48" s="256">
        <f>SUM(BY49:BY53)</f>
        <v>-162450.57677273752</v>
      </c>
      <c r="BZ48" s="564"/>
      <c r="CA48" s="229"/>
      <c r="CB48" s="229">
        <f>SUM(E5:AN6)</f>
        <v>55277832</v>
      </c>
      <c r="CC48" s="229">
        <f>52600000</f>
        <v>52600000</v>
      </c>
      <c r="CD48" s="256" t="e">
        <f t="array" aca="1" ref="CD48" ca="1">SUM(INDEX(E48:BX48, , 1):INDEX(E48:BX48, ,MATCH($CD$4, $E$3:$BX$3,0) ))</f>
        <v>#N/A</v>
      </c>
      <c r="CE48" s="564"/>
    </row>
    <row r="49" spans="2:83" ht="15.95" outlineLevel="1">
      <c r="B49" s="569"/>
      <c r="C49" s="257" t="s">
        <v>227</v>
      </c>
      <c r="D49" s="258" t="s">
        <v>191</v>
      </c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59"/>
      <c r="AH49" s="259"/>
      <c r="AI49" s="259">
        <f>-Businessplan_prodej!$F$76</f>
        <v>-133869.03677273751</v>
      </c>
      <c r="AJ49" s="259"/>
      <c r="AK49" s="259"/>
      <c r="AL49" s="259"/>
      <c r="AM49" s="259"/>
      <c r="AN49" s="259"/>
      <c r="AO49" s="259"/>
      <c r="AP49" s="259"/>
      <c r="AQ49" s="259"/>
      <c r="AR49" s="259"/>
      <c r="AS49" s="259"/>
      <c r="AT49" s="259"/>
      <c r="AU49" s="259"/>
      <c r="AV49" s="259"/>
      <c r="AW49" s="259"/>
      <c r="AX49" s="259"/>
      <c r="AY49" s="259"/>
      <c r="AZ49" s="259"/>
      <c r="BA49" s="259"/>
      <c r="BB49" s="259"/>
      <c r="BC49" s="259"/>
      <c r="BD49" s="259"/>
      <c r="BE49" s="259"/>
      <c r="BF49" s="259"/>
      <c r="BG49" s="259"/>
      <c r="BH49" s="259"/>
      <c r="BI49" s="259"/>
      <c r="BJ49" s="259"/>
      <c r="BK49" s="259"/>
      <c r="BL49" s="259"/>
      <c r="BM49" s="259"/>
      <c r="BN49" s="259"/>
      <c r="BO49" s="259"/>
      <c r="BP49" s="259"/>
      <c r="BQ49" s="259"/>
      <c r="BR49" s="259"/>
      <c r="BS49" s="259"/>
      <c r="BT49" s="259"/>
      <c r="BU49" s="259"/>
      <c r="BV49" s="259"/>
      <c r="BW49" s="259"/>
      <c r="BX49" s="265"/>
      <c r="BY49" s="266">
        <f t="shared" ref="BY49:BY53" si="31">SUM(E49:BX49)</f>
        <v>-133869.03677273751</v>
      </c>
      <c r="BZ49" s="564"/>
      <c r="CA49" s="229"/>
      <c r="CB49" s="229"/>
      <c r="CC49" s="229"/>
      <c r="CD49" s="256" t="e">
        <f t="shared" ref="CD49:CD53" ca="1" si="32">SUM(INDEX(AC49:BX49, , 1):INDEX(AC49:BX49, ,MATCH(CD5, E4:BX4,0) ))</f>
        <v>#N/A</v>
      </c>
      <c r="CE49" s="564"/>
    </row>
    <row r="50" spans="2:83" ht="15.95" outlineLevel="1">
      <c r="B50" s="569"/>
      <c r="C50" s="257" t="s">
        <v>228</v>
      </c>
      <c r="D50" s="258" t="s">
        <v>191</v>
      </c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59"/>
      <c r="AQ50" s="259"/>
      <c r="AR50" s="259"/>
      <c r="AS50" s="259"/>
      <c r="AT50" s="259"/>
      <c r="AU50" s="259"/>
      <c r="AV50" s="259"/>
      <c r="AW50" s="259"/>
      <c r="AX50" s="259"/>
      <c r="AY50" s="259"/>
      <c r="AZ50" s="259"/>
      <c r="BA50" s="259"/>
      <c r="BB50" s="259"/>
      <c r="BC50" s="259"/>
      <c r="BD50" s="259"/>
      <c r="BE50" s="259"/>
      <c r="BF50" s="259"/>
      <c r="BG50" s="259"/>
      <c r="BH50" s="259"/>
      <c r="BI50" s="259"/>
      <c r="BJ50" s="259"/>
      <c r="BK50" s="259"/>
      <c r="BL50" s="259"/>
      <c r="BM50" s="259"/>
      <c r="BN50" s="259"/>
      <c r="BO50" s="259"/>
      <c r="BP50" s="259"/>
      <c r="BQ50" s="259"/>
      <c r="BR50" s="259"/>
      <c r="BS50" s="259"/>
      <c r="BT50" s="259"/>
      <c r="BU50" s="259"/>
      <c r="BV50" s="259"/>
      <c r="BW50" s="259"/>
      <c r="BX50" s="265"/>
      <c r="BY50" s="266">
        <f t="shared" si="31"/>
        <v>0</v>
      </c>
      <c r="BZ50" s="564"/>
      <c r="CA50" s="229"/>
      <c r="CB50" s="229"/>
      <c r="CC50" s="229"/>
      <c r="CD50" s="256" t="e">
        <f t="shared" ca="1" si="32"/>
        <v>#N/A</v>
      </c>
      <c r="CE50" s="564"/>
    </row>
    <row r="51" spans="2:83" ht="15.95" outlineLevel="1">
      <c r="B51" s="569"/>
      <c r="C51" s="257" t="s">
        <v>229</v>
      </c>
      <c r="D51" s="258" t="s">
        <v>191</v>
      </c>
      <c r="E51" s="259"/>
      <c r="F51" s="259"/>
      <c r="G51" s="259"/>
      <c r="H51" s="259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9"/>
      <c r="AL51" s="259"/>
      <c r="AM51" s="259"/>
      <c r="AN51" s="259"/>
      <c r="AO51" s="259"/>
      <c r="AP51" s="259"/>
      <c r="AQ51" s="259"/>
      <c r="AR51" s="259"/>
      <c r="AS51" s="259"/>
      <c r="AT51" s="259"/>
      <c r="AU51" s="259"/>
      <c r="AV51" s="259"/>
      <c r="AW51" s="259"/>
      <c r="AX51" s="259"/>
      <c r="AY51" s="259"/>
      <c r="AZ51" s="259"/>
      <c r="BA51" s="259"/>
      <c r="BB51" s="259"/>
      <c r="BC51" s="259"/>
      <c r="BD51" s="259"/>
      <c r="BE51" s="259"/>
      <c r="BF51" s="259"/>
      <c r="BG51" s="259"/>
      <c r="BH51" s="259"/>
      <c r="BI51" s="259"/>
      <c r="BJ51" s="259"/>
      <c r="BK51" s="259"/>
      <c r="BL51" s="259"/>
      <c r="BM51" s="259"/>
      <c r="BN51" s="259"/>
      <c r="BO51" s="259"/>
      <c r="BP51" s="259"/>
      <c r="BQ51" s="259"/>
      <c r="BR51" s="259"/>
      <c r="BS51" s="259"/>
      <c r="BT51" s="259"/>
      <c r="BU51" s="259"/>
      <c r="BV51" s="259"/>
      <c r="BW51" s="259"/>
      <c r="BX51" s="265"/>
      <c r="BY51" s="266">
        <f t="shared" si="31"/>
        <v>0</v>
      </c>
      <c r="BZ51" s="564"/>
      <c r="CA51" s="229"/>
      <c r="CB51" s="229"/>
      <c r="CC51" s="229"/>
      <c r="CD51" s="256">
        <f t="shared" ca="1" si="32"/>
        <v>0</v>
      </c>
      <c r="CE51" s="564"/>
    </row>
    <row r="52" spans="2:83" ht="15.95" outlineLevel="1">
      <c r="B52" s="569"/>
      <c r="C52" s="257" t="s">
        <v>230</v>
      </c>
      <c r="D52" s="258" t="s">
        <v>191</v>
      </c>
      <c r="E52" s="259"/>
      <c r="F52" s="259"/>
      <c r="G52" s="259"/>
      <c r="H52" s="259"/>
      <c r="I52" s="259"/>
      <c r="J52" s="259"/>
      <c r="K52" s="259">
        <f>-400-200</f>
        <v>-600</v>
      </c>
      <c r="L52" s="259">
        <f>-50-2.1-3-400-12-6-20-200-6</f>
        <v>-699.1</v>
      </c>
      <c r="M52" s="259">
        <f>-400-2-5-200-0.44</f>
        <v>-607.44000000000005</v>
      </c>
      <c r="N52" s="259">
        <f>-3-400-2-5-200-3-8</f>
        <v>-621</v>
      </c>
      <c r="O52" s="259">
        <f>-300-6-4-400-12-10-200-3</f>
        <v>-935</v>
      </c>
      <c r="P52" s="259">
        <f>-300-400-2-5-200-8-6</f>
        <v>-921</v>
      </c>
      <c r="Q52" s="259">
        <f>-300-20-15-400-200</f>
        <v>-935</v>
      </c>
      <c r="R52" s="259">
        <f>-400-12-200-16</f>
        <v>-628</v>
      </c>
      <c r="S52" s="259">
        <f>-6-20-9-400-200</f>
        <v>-635</v>
      </c>
      <c r="T52" s="259">
        <f>-Businessplan_prodej!$E$79</f>
        <v>-1000</v>
      </c>
      <c r="U52" s="259">
        <f>-Businessplan_prodej!$E$79</f>
        <v>-1000</v>
      </c>
      <c r="V52" s="259">
        <f>-Businessplan_prodej!$E$79</f>
        <v>-1000</v>
      </c>
      <c r="W52" s="259">
        <f>-Businessplan_prodej!$E$79</f>
        <v>-1000</v>
      </c>
      <c r="X52" s="259">
        <f>-Businessplan_prodej!$E$79</f>
        <v>-1000</v>
      </c>
      <c r="Y52" s="259">
        <f>-Businessplan_prodej!$E$79</f>
        <v>-1000</v>
      </c>
      <c r="Z52" s="259">
        <f>-Businessplan_prodej!$E$79</f>
        <v>-1000</v>
      </c>
      <c r="AA52" s="259">
        <f>-Businessplan_prodej!$E$79</f>
        <v>-1000</v>
      </c>
      <c r="AB52" s="259">
        <f>-Businessplan_prodej!$E$79</f>
        <v>-1000</v>
      </c>
      <c r="AC52" s="259">
        <f>-Businessplan_prodej!$E$79</f>
        <v>-1000</v>
      </c>
      <c r="AD52" s="259">
        <f>-Businessplan_prodej!$E$79</f>
        <v>-1000</v>
      </c>
      <c r="AE52" s="259">
        <f>-Businessplan_prodej!$E$79</f>
        <v>-1000</v>
      </c>
      <c r="AF52" s="259">
        <f>-Businessplan_prodej!$E$79</f>
        <v>-1000</v>
      </c>
      <c r="AG52" s="259">
        <f>-Businessplan_prodej!$E$79</f>
        <v>-1000</v>
      </c>
      <c r="AH52" s="259">
        <f>-Businessplan_prodej!$E$79</f>
        <v>-1000</v>
      </c>
      <c r="AI52" s="259">
        <f>-Businessplan_prodej!$E$79</f>
        <v>-1000</v>
      </c>
      <c r="AJ52" s="259">
        <f>-Businessplan_prodej!$E$79</f>
        <v>-1000</v>
      </c>
      <c r="AK52" s="259">
        <f>-Businessplan_prodej!$E$79</f>
        <v>-1000</v>
      </c>
      <c r="AL52" s="259">
        <f>-Businessplan_prodej!$E$79</f>
        <v>-1000</v>
      </c>
      <c r="AM52" s="259">
        <f>-Businessplan_prodej!$E$79</f>
        <v>-1000</v>
      </c>
      <c r="AN52" s="259">
        <f>-Businessplan_prodej!$E$79</f>
        <v>-1000</v>
      </c>
      <c r="AO52" s="259">
        <f>-Businessplan_prodej!$E$79</f>
        <v>-1000</v>
      </c>
      <c r="AP52" s="259"/>
      <c r="AQ52" s="259"/>
      <c r="AR52" s="259"/>
      <c r="AS52" s="259"/>
      <c r="AT52" s="259"/>
      <c r="AU52" s="259"/>
      <c r="AV52" s="259"/>
      <c r="AW52" s="259"/>
      <c r="AX52" s="259"/>
      <c r="AY52" s="259"/>
      <c r="AZ52" s="259"/>
      <c r="BA52" s="259"/>
      <c r="BB52" s="259"/>
      <c r="BC52" s="259"/>
      <c r="BD52" s="259"/>
      <c r="BE52" s="259"/>
      <c r="BF52" s="259"/>
      <c r="BG52" s="259"/>
      <c r="BH52" s="259"/>
      <c r="BI52" s="259"/>
      <c r="BJ52" s="259"/>
      <c r="BK52" s="259"/>
      <c r="BL52" s="259"/>
      <c r="BM52" s="259"/>
      <c r="BN52" s="259"/>
      <c r="BO52" s="259"/>
      <c r="BP52" s="259"/>
      <c r="BQ52" s="259"/>
      <c r="BR52" s="259"/>
      <c r="BS52" s="259"/>
      <c r="BT52" s="259"/>
      <c r="BU52" s="259"/>
      <c r="BV52" s="259"/>
      <c r="BW52" s="259"/>
      <c r="BX52" s="265"/>
      <c r="BY52" s="267">
        <f t="shared" si="31"/>
        <v>-28581.54</v>
      </c>
      <c r="BZ52" s="564"/>
      <c r="CA52" s="229"/>
      <c r="CB52" s="229"/>
      <c r="CC52" s="229"/>
      <c r="CD52" s="256" t="e">
        <f t="shared" ca="1" si="32"/>
        <v>#N/A</v>
      </c>
      <c r="CE52" s="564"/>
    </row>
    <row r="53" spans="2:83" ht="15.95" outlineLevel="1">
      <c r="B53" s="569"/>
      <c r="C53" s="257" t="s">
        <v>231</v>
      </c>
      <c r="D53" s="261" t="s">
        <v>191</v>
      </c>
      <c r="E53" s="262"/>
      <c r="F53" s="262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  <c r="AA53" s="259"/>
      <c r="AB53" s="259"/>
      <c r="AC53" s="259"/>
      <c r="AD53" s="259"/>
      <c r="AE53" s="259"/>
      <c r="AF53" s="259"/>
      <c r="AG53" s="259"/>
      <c r="AH53" s="259"/>
      <c r="AI53" s="259"/>
      <c r="AJ53" s="259"/>
      <c r="AK53" s="259"/>
      <c r="AL53" s="259"/>
      <c r="AM53" s="259"/>
      <c r="AN53" s="259"/>
      <c r="AO53" s="259"/>
      <c r="AP53" s="259"/>
      <c r="AQ53" s="259"/>
      <c r="AR53" s="259"/>
      <c r="AS53" s="259"/>
      <c r="AT53" s="259"/>
      <c r="AU53" s="259"/>
      <c r="AV53" s="259"/>
      <c r="AW53" s="259"/>
      <c r="AX53" s="259"/>
      <c r="AY53" s="259"/>
      <c r="AZ53" s="259"/>
      <c r="BA53" s="259"/>
      <c r="BB53" s="259"/>
      <c r="BC53" s="259"/>
      <c r="BD53" s="259"/>
      <c r="BE53" s="259"/>
      <c r="BF53" s="259"/>
      <c r="BG53" s="259"/>
      <c r="BH53" s="259"/>
      <c r="BI53" s="259"/>
      <c r="BJ53" s="259"/>
      <c r="BK53" s="259"/>
      <c r="BL53" s="259"/>
      <c r="BM53" s="259"/>
      <c r="BN53" s="259"/>
      <c r="BO53" s="259"/>
      <c r="BP53" s="259"/>
      <c r="BQ53" s="259"/>
      <c r="BR53" s="259"/>
      <c r="BS53" s="259"/>
      <c r="BT53" s="259"/>
      <c r="BU53" s="259"/>
      <c r="BV53" s="259"/>
      <c r="BW53" s="259"/>
      <c r="BX53" s="265"/>
      <c r="BY53" s="269">
        <f t="shared" si="31"/>
        <v>0</v>
      </c>
      <c r="BZ53" s="564"/>
      <c r="CA53" s="229"/>
      <c r="CB53" s="229"/>
      <c r="CC53" s="229"/>
      <c r="CD53" s="256" t="e">
        <f t="shared" ca="1" si="32"/>
        <v>#N/A</v>
      </c>
      <c r="CE53" s="564"/>
    </row>
    <row r="54" spans="2:83" ht="15.95" collapsed="1">
      <c r="B54" s="569"/>
      <c r="C54" s="252" t="s">
        <v>232</v>
      </c>
      <c r="D54" s="253"/>
      <c r="E54" s="254">
        <f t="shared" ref="E54:BX54" si="33">SUM(E55:E61)</f>
        <v>0</v>
      </c>
      <c r="F54" s="254">
        <f t="shared" si="33"/>
        <v>0</v>
      </c>
      <c r="G54" s="254">
        <f t="shared" si="33"/>
        <v>0</v>
      </c>
      <c r="H54" s="254">
        <f t="shared" si="33"/>
        <v>0</v>
      </c>
      <c r="I54" s="254">
        <f t="shared" si="33"/>
        <v>0</v>
      </c>
      <c r="J54" s="254">
        <f t="shared" si="33"/>
        <v>0</v>
      </c>
      <c r="K54" s="254">
        <f t="shared" si="33"/>
        <v>0</v>
      </c>
      <c r="L54" s="254">
        <f t="shared" si="33"/>
        <v>0</v>
      </c>
      <c r="M54" s="254">
        <f t="shared" si="33"/>
        <v>0</v>
      </c>
      <c r="N54" s="254">
        <f t="shared" si="33"/>
        <v>0</v>
      </c>
      <c r="O54" s="254">
        <f t="shared" si="33"/>
        <v>0</v>
      </c>
      <c r="P54" s="254">
        <f t="shared" si="33"/>
        <v>0</v>
      </c>
      <c r="Q54" s="254">
        <f t="shared" si="33"/>
        <v>-113313</v>
      </c>
      <c r="R54" s="254">
        <f t="shared" si="33"/>
        <v>0</v>
      </c>
      <c r="S54" s="254">
        <f t="shared" si="33"/>
        <v>0</v>
      </c>
      <c r="T54" s="254">
        <f t="shared" si="33"/>
        <v>0</v>
      </c>
      <c r="U54" s="254">
        <f t="shared" si="33"/>
        <v>0</v>
      </c>
      <c r="V54" s="254">
        <f t="shared" si="33"/>
        <v>0</v>
      </c>
      <c r="W54" s="254">
        <f t="shared" si="33"/>
        <v>0</v>
      </c>
      <c r="X54" s="254">
        <f t="shared" si="33"/>
        <v>0</v>
      </c>
      <c r="Y54" s="254">
        <f t="shared" si="33"/>
        <v>0</v>
      </c>
      <c r="Z54" s="254">
        <f t="shared" si="33"/>
        <v>0</v>
      </c>
      <c r="AA54" s="254">
        <f t="shared" si="33"/>
        <v>0</v>
      </c>
      <c r="AB54" s="254">
        <f t="shared" si="33"/>
        <v>0</v>
      </c>
      <c r="AC54" s="254">
        <f t="shared" si="33"/>
        <v>0</v>
      </c>
      <c r="AD54" s="254">
        <f t="shared" si="33"/>
        <v>0</v>
      </c>
      <c r="AE54" s="254">
        <f t="shared" si="33"/>
        <v>0</v>
      </c>
      <c r="AF54" s="254">
        <f t="shared" si="33"/>
        <v>0</v>
      </c>
      <c r="AG54" s="254">
        <f t="shared" si="33"/>
        <v>0</v>
      </c>
      <c r="AH54" s="254">
        <f t="shared" si="33"/>
        <v>0</v>
      </c>
      <c r="AI54" s="254">
        <f t="shared" si="33"/>
        <v>-40000</v>
      </c>
      <c r="AJ54" s="254">
        <f t="shared" si="33"/>
        <v>-114666.66666666667</v>
      </c>
      <c r="AK54" s="254">
        <f t="shared" si="33"/>
        <v>-189333.33333333334</v>
      </c>
      <c r="AL54" s="254">
        <f t="shared" si="33"/>
        <v>-264000</v>
      </c>
      <c r="AM54" s="254">
        <f t="shared" si="33"/>
        <v>-338666.66666666669</v>
      </c>
      <c r="AN54" s="254">
        <f t="shared" si="33"/>
        <v>-414666.66666666669</v>
      </c>
      <c r="AO54" s="254">
        <f t="shared" si="33"/>
        <v>-4841784.1966666682</v>
      </c>
      <c r="AP54" s="254">
        <f t="shared" si="33"/>
        <v>0</v>
      </c>
      <c r="AQ54" s="254">
        <f t="shared" si="33"/>
        <v>0</v>
      </c>
      <c r="AR54" s="254">
        <f t="shared" si="33"/>
        <v>0</v>
      </c>
      <c r="AS54" s="254">
        <f t="shared" si="33"/>
        <v>0</v>
      </c>
      <c r="AT54" s="254">
        <f t="shared" si="33"/>
        <v>0</v>
      </c>
      <c r="AU54" s="254">
        <f t="shared" si="33"/>
        <v>0</v>
      </c>
      <c r="AV54" s="254">
        <f t="shared" si="33"/>
        <v>0</v>
      </c>
      <c r="AW54" s="254">
        <f t="shared" si="33"/>
        <v>0</v>
      </c>
      <c r="AX54" s="254">
        <f t="shared" si="33"/>
        <v>0</v>
      </c>
      <c r="AY54" s="254">
        <f t="shared" si="33"/>
        <v>0</v>
      </c>
      <c r="AZ54" s="254">
        <f t="shared" si="33"/>
        <v>0</v>
      </c>
      <c r="BA54" s="254">
        <f t="shared" si="33"/>
        <v>0</v>
      </c>
      <c r="BB54" s="254">
        <f t="shared" si="33"/>
        <v>0</v>
      </c>
      <c r="BC54" s="254">
        <f t="shared" si="33"/>
        <v>0</v>
      </c>
      <c r="BD54" s="254">
        <f t="shared" si="33"/>
        <v>0</v>
      </c>
      <c r="BE54" s="254">
        <f t="shared" si="33"/>
        <v>0</v>
      </c>
      <c r="BF54" s="254">
        <f t="shared" si="33"/>
        <v>0</v>
      </c>
      <c r="BG54" s="254">
        <f t="shared" si="33"/>
        <v>0</v>
      </c>
      <c r="BH54" s="254">
        <f t="shared" si="33"/>
        <v>0</v>
      </c>
      <c r="BI54" s="254">
        <f t="shared" si="33"/>
        <v>0</v>
      </c>
      <c r="BJ54" s="254">
        <f t="shared" si="33"/>
        <v>0</v>
      </c>
      <c r="BK54" s="254">
        <f t="shared" si="33"/>
        <v>0</v>
      </c>
      <c r="BL54" s="254">
        <f t="shared" si="33"/>
        <v>0</v>
      </c>
      <c r="BM54" s="254">
        <f t="shared" si="33"/>
        <v>0</v>
      </c>
      <c r="BN54" s="254">
        <f t="shared" si="33"/>
        <v>0</v>
      </c>
      <c r="BO54" s="254">
        <f t="shared" si="33"/>
        <v>0</v>
      </c>
      <c r="BP54" s="254">
        <f t="shared" si="33"/>
        <v>0</v>
      </c>
      <c r="BQ54" s="254">
        <f t="shared" si="33"/>
        <v>0</v>
      </c>
      <c r="BR54" s="254">
        <f t="shared" si="33"/>
        <v>0</v>
      </c>
      <c r="BS54" s="254">
        <f t="shared" si="33"/>
        <v>0</v>
      </c>
      <c r="BT54" s="254">
        <f t="shared" si="33"/>
        <v>0</v>
      </c>
      <c r="BU54" s="254">
        <f t="shared" si="33"/>
        <v>0</v>
      </c>
      <c r="BV54" s="254">
        <f t="shared" si="33"/>
        <v>0</v>
      </c>
      <c r="BW54" s="254">
        <f t="shared" si="33"/>
        <v>0</v>
      </c>
      <c r="BX54" s="254">
        <f t="shared" si="33"/>
        <v>0</v>
      </c>
      <c r="BY54" s="256">
        <f>SUM(BY55:BY61)</f>
        <v>-6316430.5300000012</v>
      </c>
      <c r="BZ54" s="564"/>
      <c r="CA54" s="229"/>
      <c r="CB54" s="229">
        <f>SUM(E74:AN75)</f>
        <v>-21918824</v>
      </c>
      <c r="CC54" s="229">
        <f>-20500000</f>
        <v>-20500000</v>
      </c>
      <c r="CD54" s="256" t="e">
        <f t="array" aca="1" ref="CD54" ca="1">SUM(INDEX(E54:BX54, , 1):INDEX(E54:BX54, ,MATCH($CD$4, $E$3:$BX$3,0) ))</f>
        <v>#N/A</v>
      </c>
      <c r="CE54" s="564"/>
    </row>
    <row r="55" spans="2:83" ht="15.95" hidden="1" outlineLevel="1">
      <c r="B55" s="569"/>
      <c r="C55" s="257" t="s">
        <v>233</v>
      </c>
      <c r="D55" s="274">
        <v>0.11</v>
      </c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>
        <f>-113313</f>
        <v>-113313</v>
      </c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9"/>
      <c r="AL55" s="259"/>
      <c r="AM55" s="259"/>
      <c r="AN55" s="259"/>
      <c r="AO55" s="348">
        <f>-SUM(' Interest Calc'!E12:E43)-' Interest Calc'!E43</f>
        <v>-860897.51000000024</v>
      </c>
      <c r="AP55" s="259"/>
      <c r="AQ55" s="259"/>
      <c r="AR55" s="259"/>
      <c r="AS55" s="259"/>
      <c r="AT55" s="259"/>
      <c r="AU55" s="259"/>
      <c r="AV55" s="259"/>
      <c r="AW55" s="259"/>
      <c r="AX55" s="259"/>
      <c r="AY55" s="259"/>
      <c r="AZ55" s="259"/>
      <c r="BA55" s="259"/>
      <c r="BB55" s="259"/>
      <c r="BC55" s="259"/>
      <c r="BD55" s="259"/>
      <c r="BE55" s="259"/>
      <c r="BF55" s="259"/>
      <c r="BG55" s="259"/>
      <c r="BH55" s="259"/>
      <c r="BI55" s="259"/>
      <c r="BJ55" s="259"/>
      <c r="BK55" s="259"/>
      <c r="BL55" s="259"/>
      <c r="BM55" s="265"/>
      <c r="BN55" s="265"/>
      <c r="BO55" s="265"/>
      <c r="BP55" s="265"/>
      <c r="BQ55" s="265"/>
      <c r="BR55" s="265"/>
      <c r="BS55" s="265"/>
      <c r="BT55" s="265"/>
      <c r="BU55" s="265"/>
      <c r="BV55" s="265"/>
      <c r="BW55" s="265"/>
      <c r="BX55" s="265"/>
      <c r="BY55" s="275">
        <f t="shared" ref="BY55:BY61" si="34">SUM(E55:BX55)</f>
        <v>-974210.51000000024</v>
      </c>
      <c r="BZ55" s="564"/>
      <c r="CA55" s="229"/>
      <c r="CB55" s="229"/>
      <c r="CC55" s="229"/>
      <c r="CD55" s="256" t="e">
        <f t="shared" ref="CD55:CD58" ca="1" si="35">SUM(INDEX(AC55:BX55, , 1):INDEX(AC55:BX55, ,MATCH(CD11, E10:BX10,0) ))</f>
        <v>#N/A</v>
      </c>
      <c r="CE55" s="564"/>
    </row>
    <row r="56" spans="2:83" ht="15.95" hidden="1" outlineLevel="1">
      <c r="B56" s="569"/>
      <c r="C56" s="257" t="s">
        <v>234</v>
      </c>
      <c r="D56" s="274">
        <v>0.11</v>
      </c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59"/>
      <c r="AH56" s="259"/>
      <c r="AI56" s="259"/>
      <c r="AJ56" s="259"/>
      <c r="AK56" s="259"/>
      <c r="AL56" s="259"/>
      <c r="AM56" s="259"/>
      <c r="AN56" s="259"/>
      <c r="AO56" s="348">
        <f>-SUM(' Interest Calc'!J19:J43)-' Interest Calc'!J43</f>
        <v>-3566220.0200000014</v>
      </c>
      <c r="AP56" s="259"/>
      <c r="AQ56" s="259"/>
      <c r="AR56" s="259"/>
      <c r="AS56" s="259"/>
      <c r="AT56" s="259"/>
      <c r="AU56" s="259"/>
      <c r="AV56" s="259"/>
      <c r="AW56" s="259"/>
      <c r="AX56" s="259"/>
      <c r="AY56" s="259"/>
      <c r="AZ56" s="259"/>
      <c r="BA56" s="259"/>
      <c r="BB56" s="259"/>
      <c r="BC56" s="259"/>
      <c r="BD56" s="259"/>
      <c r="BE56" s="259"/>
      <c r="BF56" s="259"/>
      <c r="BG56" s="259"/>
      <c r="BH56" s="259"/>
      <c r="BI56" s="259"/>
      <c r="BJ56" s="259"/>
      <c r="BK56" s="259"/>
      <c r="BL56" s="259"/>
      <c r="BM56" s="265"/>
      <c r="BN56" s="265"/>
      <c r="BO56" s="265"/>
      <c r="BP56" s="265"/>
      <c r="BQ56" s="265"/>
      <c r="BR56" s="265"/>
      <c r="BS56" s="265"/>
      <c r="BT56" s="265"/>
      <c r="BU56" s="265"/>
      <c r="BV56" s="265"/>
      <c r="BW56" s="265"/>
      <c r="BX56" s="265"/>
      <c r="BY56" s="276">
        <f t="shared" si="34"/>
        <v>-3566220.0200000014</v>
      </c>
      <c r="BZ56" s="564"/>
      <c r="CA56" s="229"/>
      <c r="CB56" s="229"/>
      <c r="CC56" s="229"/>
      <c r="CD56" s="256" t="e">
        <f t="shared" ca="1" si="35"/>
        <v>#N/A</v>
      </c>
      <c r="CE56" s="564"/>
    </row>
    <row r="57" spans="2:83" ht="15.95" hidden="1" outlineLevel="1">
      <c r="B57" s="569"/>
      <c r="C57" s="257" t="s">
        <v>235</v>
      </c>
      <c r="D57" s="274">
        <v>0.105</v>
      </c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/>
      <c r="AJ57" s="259"/>
      <c r="AK57" s="259"/>
      <c r="AL57" s="259"/>
      <c r="AM57" s="259"/>
      <c r="AN57" s="259"/>
      <c r="AO57" s="348"/>
      <c r="AP57" s="259"/>
      <c r="AQ57" s="259"/>
      <c r="AR57" s="259"/>
      <c r="AS57" s="259"/>
      <c r="AT57" s="259"/>
      <c r="AU57" s="259"/>
      <c r="AV57" s="259"/>
      <c r="AW57" s="259"/>
      <c r="AX57" s="259"/>
      <c r="AY57" s="259"/>
      <c r="AZ57" s="259"/>
      <c r="BA57" s="259"/>
      <c r="BB57" s="259"/>
      <c r="BC57" s="259"/>
      <c r="BD57" s="259"/>
      <c r="BE57" s="259"/>
      <c r="BF57" s="259"/>
      <c r="BG57" s="259"/>
      <c r="BH57" s="259"/>
      <c r="BI57" s="259"/>
      <c r="BJ57" s="259"/>
      <c r="BK57" s="259"/>
      <c r="BL57" s="259"/>
      <c r="BM57" s="265"/>
      <c r="BN57" s="265"/>
      <c r="BO57" s="265"/>
      <c r="BP57" s="265"/>
      <c r="BQ57" s="265"/>
      <c r="BR57" s="265"/>
      <c r="BS57" s="265"/>
      <c r="BT57" s="265"/>
      <c r="BU57" s="265"/>
      <c r="BV57" s="265"/>
      <c r="BW57" s="265"/>
      <c r="BX57" s="265"/>
      <c r="BY57" s="276">
        <f t="shared" si="34"/>
        <v>0</v>
      </c>
      <c r="BZ57" s="564"/>
      <c r="CA57" s="229"/>
      <c r="CB57" s="229"/>
      <c r="CC57" s="229"/>
      <c r="CD57" s="256" t="e">
        <f t="shared" ca="1" si="35"/>
        <v>#N/A</v>
      </c>
      <c r="CE57" s="564"/>
    </row>
    <row r="58" spans="2:83" ht="15.95" hidden="1" outlineLevel="1">
      <c r="B58" s="569"/>
      <c r="C58" s="257" t="s">
        <v>236</v>
      </c>
      <c r="D58" s="274">
        <v>0.105</v>
      </c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59"/>
      <c r="AN58" s="259"/>
      <c r="AO58" s="259"/>
      <c r="AP58" s="259"/>
      <c r="AQ58" s="259"/>
      <c r="AR58" s="259"/>
      <c r="AS58" s="259"/>
      <c r="AT58" s="259"/>
      <c r="AU58" s="259"/>
      <c r="AV58" s="259"/>
      <c r="AW58" s="259"/>
      <c r="AX58" s="259"/>
      <c r="AY58" s="259"/>
      <c r="AZ58" s="259"/>
      <c r="BA58" s="259"/>
      <c r="BB58" s="259"/>
      <c r="BC58" s="259"/>
      <c r="BD58" s="259"/>
      <c r="BE58" s="259"/>
      <c r="BF58" s="259"/>
      <c r="BG58" s="259"/>
      <c r="BH58" s="259"/>
      <c r="BI58" s="259"/>
      <c r="BJ58" s="259"/>
      <c r="BK58" s="259"/>
      <c r="BL58" s="259"/>
      <c r="BM58" s="265"/>
      <c r="BN58" s="265"/>
      <c r="BO58" s="265"/>
      <c r="BP58" s="265"/>
      <c r="BQ58" s="265"/>
      <c r="BR58" s="265"/>
      <c r="BS58" s="265"/>
      <c r="BT58" s="265"/>
      <c r="BU58" s="265"/>
      <c r="BV58" s="265"/>
      <c r="BW58" s="265"/>
      <c r="BX58" s="265"/>
      <c r="BY58" s="276">
        <f t="shared" si="34"/>
        <v>0</v>
      </c>
      <c r="BZ58" s="564"/>
      <c r="CA58" s="229"/>
      <c r="CB58" s="229"/>
      <c r="CC58" s="229"/>
      <c r="CD58" s="256" t="e">
        <f t="shared" ca="1" si="35"/>
        <v>#N/A</v>
      </c>
      <c r="CE58" s="564"/>
    </row>
    <row r="59" spans="2:83" ht="15.95" hidden="1" outlineLevel="1">
      <c r="B59" s="569"/>
      <c r="C59" s="257" t="s">
        <v>237</v>
      </c>
      <c r="D59" s="274">
        <v>0.15</v>
      </c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65"/>
      <c r="BN59" s="265"/>
      <c r="BO59" s="265"/>
      <c r="BP59" s="265"/>
      <c r="BQ59" s="265"/>
      <c r="BR59" s="265"/>
      <c r="BS59" s="265"/>
      <c r="BT59" s="265"/>
      <c r="BU59" s="265"/>
      <c r="BV59" s="265"/>
      <c r="BW59" s="265"/>
      <c r="BX59" s="265"/>
      <c r="BY59" s="277">
        <f t="shared" si="34"/>
        <v>0</v>
      </c>
      <c r="BZ59" s="564"/>
      <c r="CA59" s="229"/>
      <c r="CB59" s="229"/>
      <c r="CC59" s="229"/>
      <c r="CD59" s="256" t="e">
        <f t="array" aca="1" ref="CD59" ca="1">SUM(INDEX(AC59:BX59, , 1):INDEX(AC59:BX59, ,MATCH(CD16, E14:BX14,0) ))</f>
        <v>#N/A</v>
      </c>
      <c r="CE59" s="564"/>
    </row>
    <row r="60" spans="2:83" ht="15.95" hidden="1" outlineLevel="1">
      <c r="B60" s="569"/>
      <c r="C60" s="257" t="s">
        <v>238</v>
      </c>
      <c r="D60" s="278">
        <f>25%/12</f>
        <v>2.0833333333333332E-2</v>
      </c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62"/>
      <c r="AK60" s="262"/>
      <c r="AL60" s="262"/>
      <c r="AM60" s="262"/>
      <c r="AN60" s="262"/>
      <c r="AO60" s="262"/>
      <c r="AP60" s="262"/>
      <c r="AQ60" s="262"/>
      <c r="AR60" s="262"/>
      <c r="AS60" s="262"/>
      <c r="AT60" s="262"/>
      <c r="AU60" s="262"/>
      <c r="AV60" s="262"/>
      <c r="AW60" s="262"/>
      <c r="AX60" s="262"/>
      <c r="AY60" s="262"/>
      <c r="AZ60" s="262"/>
      <c r="BA60" s="262"/>
      <c r="BB60" s="262"/>
      <c r="BC60" s="262"/>
      <c r="BD60" s="262"/>
      <c r="BE60" s="262"/>
      <c r="BF60" s="262"/>
      <c r="BG60" s="262"/>
      <c r="BH60" s="262"/>
      <c r="BI60" s="262"/>
      <c r="BJ60" s="262"/>
      <c r="BK60" s="262"/>
      <c r="BL60" s="259"/>
      <c r="BM60" s="265"/>
      <c r="BN60" s="265"/>
      <c r="BO60" s="265"/>
      <c r="BP60" s="265"/>
      <c r="BQ60" s="265"/>
      <c r="BR60" s="265"/>
      <c r="BS60" s="265"/>
      <c r="BT60" s="265"/>
      <c r="BU60" s="265"/>
      <c r="BV60" s="265"/>
      <c r="BW60" s="265"/>
      <c r="BX60" s="265"/>
      <c r="BY60" s="277">
        <f t="shared" si="34"/>
        <v>0</v>
      </c>
      <c r="BZ60" s="564"/>
      <c r="CA60" s="229"/>
      <c r="CB60" s="229"/>
      <c r="CC60" s="229"/>
      <c r="CD60" s="256" t="e">
        <f t="shared" ref="CD60:CD61" ca="1" si="36">SUM(INDEX(AC60:BX60, , 1):INDEX(AC60:BX60, ,MATCH(CD17, E16:BX16,0) ))</f>
        <v>#N/A</v>
      </c>
      <c r="CE60" s="564"/>
    </row>
    <row r="61" spans="2:83" ht="15.95" hidden="1" outlineLevel="1">
      <c r="B61" s="569"/>
      <c r="C61" s="279" t="s">
        <v>239</v>
      </c>
      <c r="D61" s="280">
        <v>0.08</v>
      </c>
      <c r="E61" s="281"/>
      <c r="F61" s="281"/>
      <c r="G61" s="281"/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1"/>
      <c r="AI61" s="281">
        <f>-AI11*D61/12</f>
        <v>-40000</v>
      </c>
      <c r="AJ61" s="281">
        <f t="shared" ref="AJ61:AO61" si="37">-SUM($AI$11:AJ11)*$D$61/12</f>
        <v>-114666.66666666667</v>
      </c>
      <c r="AK61" s="281">
        <f t="shared" si="37"/>
        <v>-189333.33333333334</v>
      </c>
      <c r="AL61" s="281">
        <f t="shared" si="37"/>
        <v>-264000</v>
      </c>
      <c r="AM61" s="281">
        <f t="shared" si="37"/>
        <v>-338666.66666666669</v>
      </c>
      <c r="AN61" s="281">
        <f t="shared" si="37"/>
        <v>-414666.66666666669</v>
      </c>
      <c r="AO61" s="281">
        <f t="shared" si="37"/>
        <v>-414666.66666666669</v>
      </c>
      <c r="AP61" s="281"/>
      <c r="AQ61" s="281"/>
      <c r="AR61" s="281"/>
      <c r="AS61" s="281"/>
      <c r="AT61" s="281"/>
      <c r="AU61" s="281"/>
      <c r="AV61" s="281"/>
      <c r="AW61" s="281"/>
      <c r="AX61" s="281"/>
      <c r="AY61" s="281"/>
      <c r="AZ61" s="281"/>
      <c r="BA61" s="281"/>
      <c r="BB61" s="281"/>
      <c r="BC61" s="281"/>
      <c r="BD61" s="281"/>
      <c r="BE61" s="281"/>
      <c r="BF61" s="281"/>
      <c r="BG61" s="281"/>
      <c r="BH61" s="281"/>
      <c r="BI61" s="281"/>
      <c r="BJ61" s="281"/>
      <c r="BK61" s="281"/>
      <c r="BL61" s="281"/>
      <c r="BM61" s="282"/>
      <c r="BN61" s="282"/>
      <c r="BO61" s="282"/>
      <c r="BP61" s="282"/>
      <c r="BQ61" s="282"/>
      <c r="BR61" s="282"/>
      <c r="BS61" s="282"/>
      <c r="BT61" s="282"/>
      <c r="BU61" s="282"/>
      <c r="BV61" s="282"/>
      <c r="BW61" s="282"/>
      <c r="BX61" s="282"/>
      <c r="BY61" s="283">
        <f t="shared" si="34"/>
        <v>-1776000.0000000002</v>
      </c>
      <c r="BZ61" s="564"/>
      <c r="CA61" s="229"/>
      <c r="CB61" s="229"/>
      <c r="CC61" s="229"/>
      <c r="CD61" s="256" t="e">
        <f t="shared" ca="1" si="36"/>
        <v>#N/A</v>
      </c>
      <c r="CE61" s="564"/>
    </row>
    <row r="62" spans="2:83" ht="15.95" collapsed="1">
      <c r="B62" s="569"/>
      <c r="C62" s="252" t="s">
        <v>240</v>
      </c>
      <c r="D62" s="253"/>
      <c r="E62" s="254">
        <f t="shared" ref="E62:BY62" si="38">SUM(E63:E69)</f>
        <v>0</v>
      </c>
      <c r="F62" s="254">
        <f t="shared" si="38"/>
        <v>0</v>
      </c>
      <c r="G62" s="254">
        <f t="shared" si="38"/>
        <v>0</v>
      </c>
      <c r="H62" s="254">
        <f t="shared" si="38"/>
        <v>0</v>
      </c>
      <c r="I62" s="254">
        <f t="shared" si="38"/>
        <v>0</v>
      </c>
      <c r="J62" s="254">
        <f t="shared" si="38"/>
        <v>0</v>
      </c>
      <c r="K62" s="254">
        <f t="shared" si="38"/>
        <v>0</v>
      </c>
      <c r="L62" s="254">
        <f t="shared" si="38"/>
        <v>0</v>
      </c>
      <c r="M62" s="254">
        <f t="shared" si="38"/>
        <v>0</v>
      </c>
      <c r="N62" s="254">
        <f t="shared" si="38"/>
        <v>0</v>
      </c>
      <c r="O62" s="254">
        <f t="shared" si="38"/>
        <v>0</v>
      </c>
      <c r="P62" s="254">
        <f t="shared" si="38"/>
        <v>0</v>
      </c>
      <c r="Q62" s="254">
        <f t="shared" si="38"/>
        <v>0</v>
      </c>
      <c r="R62" s="254">
        <f t="shared" si="38"/>
        <v>0</v>
      </c>
      <c r="S62" s="254">
        <f t="shared" si="38"/>
        <v>0</v>
      </c>
      <c r="T62" s="254">
        <f t="shared" si="38"/>
        <v>0</v>
      </c>
      <c r="U62" s="254">
        <f t="shared" si="38"/>
        <v>0</v>
      </c>
      <c r="V62" s="254">
        <f t="shared" si="38"/>
        <v>0</v>
      </c>
      <c r="W62" s="254">
        <f t="shared" si="38"/>
        <v>0</v>
      </c>
      <c r="X62" s="254">
        <f t="shared" si="38"/>
        <v>0</v>
      </c>
      <c r="Y62" s="254">
        <f t="shared" si="38"/>
        <v>0</v>
      </c>
      <c r="Z62" s="254">
        <f t="shared" si="38"/>
        <v>0</v>
      </c>
      <c r="AA62" s="254">
        <f t="shared" si="38"/>
        <v>0</v>
      </c>
      <c r="AB62" s="254">
        <f t="shared" si="38"/>
        <v>0</v>
      </c>
      <c r="AC62" s="254">
        <f t="shared" si="38"/>
        <v>0</v>
      </c>
      <c r="AD62" s="254">
        <f t="shared" si="38"/>
        <v>0</v>
      </c>
      <c r="AE62" s="254">
        <f t="shared" si="38"/>
        <v>0</v>
      </c>
      <c r="AF62" s="254">
        <f t="shared" si="38"/>
        <v>0</v>
      </c>
      <c r="AG62" s="254">
        <f t="shared" si="38"/>
        <v>0</v>
      </c>
      <c r="AH62" s="254">
        <f t="shared" si="38"/>
        <v>0</v>
      </c>
      <c r="AI62" s="254">
        <f t="shared" si="38"/>
        <v>0</v>
      </c>
      <c r="AJ62" s="254">
        <f t="shared" si="38"/>
        <v>0</v>
      </c>
      <c r="AK62" s="254">
        <f t="shared" si="38"/>
        <v>0</v>
      </c>
      <c r="AL62" s="254">
        <f t="shared" si="38"/>
        <v>0</v>
      </c>
      <c r="AM62" s="254">
        <f t="shared" si="38"/>
        <v>0</v>
      </c>
      <c r="AN62" s="254">
        <f t="shared" si="38"/>
        <v>0</v>
      </c>
      <c r="AO62" s="254">
        <f t="shared" si="38"/>
        <v>-1180921.6428571427</v>
      </c>
      <c r="AP62" s="254">
        <f t="shared" si="38"/>
        <v>0</v>
      </c>
      <c r="AQ62" s="254">
        <f t="shared" si="38"/>
        <v>0</v>
      </c>
      <c r="AR62" s="254">
        <f t="shared" si="38"/>
        <v>0</v>
      </c>
      <c r="AS62" s="254">
        <f t="shared" si="38"/>
        <v>0</v>
      </c>
      <c r="AT62" s="254">
        <f t="shared" si="38"/>
        <v>0</v>
      </c>
      <c r="AU62" s="254">
        <f t="shared" si="38"/>
        <v>0</v>
      </c>
      <c r="AV62" s="254">
        <f t="shared" si="38"/>
        <v>0</v>
      </c>
      <c r="AW62" s="254">
        <f t="shared" si="38"/>
        <v>0</v>
      </c>
      <c r="AX62" s="254">
        <f t="shared" si="38"/>
        <v>0</v>
      </c>
      <c r="AY62" s="254">
        <f t="shared" si="38"/>
        <v>0</v>
      </c>
      <c r="AZ62" s="254">
        <f t="shared" si="38"/>
        <v>0</v>
      </c>
      <c r="BA62" s="254">
        <f t="shared" si="38"/>
        <v>0</v>
      </c>
      <c r="BB62" s="254">
        <f t="shared" si="38"/>
        <v>0</v>
      </c>
      <c r="BC62" s="254">
        <f t="shared" si="38"/>
        <v>0</v>
      </c>
      <c r="BD62" s="254">
        <f t="shared" si="38"/>
        <v>0</v>
      </c>
      <c r="BE62" s="254">
        <f t="shared" si="38"/>
        <v>0</v>
      </c>
      <c r="BF62" s="254">
        <f t="shared" si="38"/>
        <v>0</v>
      </c>
      <c r="BG62" s="254">
        <f t="shared" si="38"/>
        <v>0</v>
      </c>
      <c r="BH62" s="254">
        <f t="shared" si="38"/>
        <v>0</v>
      </c>
      <c r="BI62" s="254">
        <f t="shared" si="38"/>
        <v>0</v>
      </c>
      <c r="BJ62" s="254">
        <f t="shared" si="38"/>
        <v>0</v>
      </c>
      <c r="BK62" s="254">
        <f t="shared" si="38"/>
        <v>0</v>
      </c>
      <c r="BL62" s="254">
        <f t="shared" si="38"/>
        <v>0</v>
      </c>
      <c r="BM62" s="254">
        <f t="shared" si="38"/>
        <v>0</v>
      </c>
      <c r="BN62" s="254">
        <f t="shared" si="38"/>
        <v>0</v>
      </c>
      <c r="BO62" s="254">
        <f t="shared" si="38"/>
        <v>0</v>
      </c>
      <c r="BP62" s="254">
        <f t="shared" si="38"/>
        <v>0</v>
      </c>
      <c r="BQ62" s="254">
        <f t="shared" si="38"/>
        <v>0</v>
      </c>
      <c r="BR62" s="254">
        <f t="shared" si="38"/>
        <v>0</v>
      </c>
      <c r="BS62" s="254">
        <f t="shared" si="38"/>
        <v>0</v>
      </c>
      <c r="BT62" s="254">
        <f t="shared" si="38"/>
        <v>0</v>
      </c>
      <c r="BU62" s="254">
        <f t="shared" si="38"/>
        <v>0</v>
      </c>
      <c r="BV62" s="254">
        <f t="shared" si="38"/>
        <v>0</v>
      </c>
      <c r="BW62" s="254">
        <f t="shared" si="38"/>
        <v>0</v>
      </c>
      <c r="BX62" s="254">
        <f t="shared" si="38"/>
        <v>0</v>
      </c>
      <c r="BY62" s="255">
        <f t="shared" si="38"/>
        <v>-1180921.6428571427</v>
      </c>
      <c r="BZ62" s="564"/>
      <c r="CA62" s="229"/>
      <c r="CB62" s="229"/>
      <c r="CC62" s="229"/>
      <c r="CD62" s="256" t="e">
        <f t="array" aca="1" ref="CD62" ca="1">SUM(INDEX(E62:BX62, , 1):INDEX(E62:BX62, ,MATCH($CD$4, $E$3:$BX$3,0) ))</f>
        <v>#N/A</v>
      </c>
      <c r="CE62" s="564"/>
    </row>
    <row r="63" spans="2:83" ht="15.95" hidden="1" outlineLevel="1">
      <c r="B63" s="569"/>
      <c r="C63" s="284" t="s">
        <v>83</v>
      </c>
      <c r="D63" s="258" t="s">
        <v>191</v>
      </c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  <c r="AA63" s="285"/>
      <c r="AB63" s="285"/>
      <c r="AC63" s="285"/>
      <c r="AD63" s="285"/>
      <c r="AE63" s="285"/>
      <c r="AF63" s="285"/>
      <c r="AG63" s="285"/>
      <c r="AH63" s="285"/>
      <c r="AI63" s="285"/>
      <c r="AJ63" s="285"/>
      <c r="AK63" s="285"/>
      <c r="AL63" s="285"/>
      <c r="AM63" s="285"/>
      <c r="AN63" s="285"/>
      <c r="AO63" s="285">
        <f>-Businessplan_prodej!$N$21/12</f>
        <v>-49937.5</v>
      </c>
      <c r="AP63" s="285"/>
      <c r="AQ63" s="285"/>
      <c r="AR63" s="285"/>
      <c r="AS63" s="285"/>
      <c r="AT63" s="285"/>
      <c r="AU63" s="285"/>
      <c r="AV63" s="285"/>
      <c r="AW63" s="285"/>
      <c r="AX63" s="285"/>
      <c r="AY63" s="285"/>
      <c r="AZ63" s="285"/>
      <c r="BA63" s="285"/>
      <c r="BB63" s="285"/>
      <c r="BC63" s="285"/>
      <c r="BD63" s="285"/>
      <c r="BE63" s="285"/>
      <c r="BF63" s="285"/>
      <c r="BG63" s="285"/>
      <c r="BH63" s="285"/>
      <c r="BI63" s="285"/>
      <c r="BJ63" s="285"/>
      <c r="BK63" s="285"/>
      <c r="BL63" s="285"/>
      <c r="BM63" s="285"/>
      <c r="BN63" s="285"/>
      <c r="BO63" s="285"/>
      <c r="BP63" s="285"/>
      <c r="BQ63" s="285"/>
      <c r="BR63" s="285"/>
      <c r="BS63" s="285"/>
      <c r="BT63" s="285"/>
      <c r="BU63" s="285"/>
      <c r="BV63" s="285"/>
      <c r="BW63" s="285"/>
      <c r="BX63" s="285"/>
      <c r="BY63" s="286">
        <f t="shared" ref="BY63:BY69" si="39">SUM(E63:BX63)</f>
        <v>-49937.5</v>
      </c>
      <c r="BZ63" s="564"/>
      <c r="CA63" s="229"/>
      <c r="CB63" s="229"/>
      <c r="CC63" s="229" t="s">
        <v>241</v>
      </c>
      <c r="CD63" s="256" t="e">
        <f t="shared" ref="CD63:CD68" ca="1" si="40">SUM(INDEX(AC63:BX63, , 1):INDEX(AC63:BX63, ,MATCH(CD36, E35:BX35,0) ))</f>
        <v>#REF!</v>
      </c>
      <c r="CE63" s="564"/>
    </row>
    <row r="64" spans="2:83" ht="15.95" hidden="1" outlineLevel="1">
      <c r="B64" s="569"/>
      <c r="C64" s="284" t="s">
        <v>242</v>
      </c>
      <c r="D64" s="258" t="s">
        <v>191</v>
      </c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/>
      <c r="AM64" s="285"/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6">
        <f t="shared" si="39"/>
        <v>0</v>
      </c>
      <c r="BZ64" s="564"/>
      <c r="CA64" s="229"/>
      <c r="CB64" s="229"/>
      <c r="CC64" s="229"/>
      <c r="CD64" s="256" t="e">
        <f t="shared" ca="1" si="40"/>
        <v>#REF!</v>
      </c>
      <c r="CE64" s="564"/>
    </row>
    <row r="65" spans="2:83" ht="15.95" hidden="1" outlineLevel="1">
      <c r="B65" s="569"/>
      <c r="C65" s="287" t="s">
        <v>222</v>
      </c>
      <c r="D65" s="258" t="s">
        <v>191</v>
      </c>
      <c r="E65" s="285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259"/>
      <c r="AO65" s="259"/>
      <c r="AP65" s="259"/>
      <c r="AQ65" s="259"/>
      <c r="AR65" s="259"/>
      <c r="AS65" s="259"/>
      <c r="AT65" s="259"/>
      <c r="AU65" s="259"/>
      <c r="AV65" s="259"/>
      <c r="AW65" s="259"/>
      <c r="AX65" s="259"/>
      <c r="AY65" s="259"/>
      <c r="AZ65" s="259"/>
      <c r="BA65" s="259"/>
      <c r="BB65" s="259"/>
      <c r="BC65" s="259"/>
      <c r="BD65" s="259"/>
      <c r="BE65" s="259"/>
      <c r="BF65" s="259"/>
      <c r="BG65" s="259"/>
      <c r="BH65" s="259"/>
      <c r="BI65" s="259"/>
      <c r="BJ65" s="259"/>
      <c r="BK65" s="259"/>
      <c r="BL65" s="259"/>
      <c r="BM65" s="259"/>
      <c r="BN65" s="259"/>
      <c r="BO65" s="259"/>
      <c r="BP65" s="259"/>
      <c r="BQ65" s="259"/>
      <c r="BR65" s="259"/>
      <c r="BS65" s="259"/>
      <c r="BT65" s="259"/>
      <c r="BU65" s="259"/>
      <c r="BV65" s="259"/>
      <c r="BW65" s="259"/>
      <c r="BX65" s="259"/>
      <c r="BY65" s="286">
        <f t="shared" si="39"/>
        <v>0</v>
      </c>
      <c r="BZ65" s="564"/>
      <c r="CA65" s="229"/>
      <c r="CB65" s="229"/>
      <c r="CC65" s="229"/>
      <c r="CD65" s="256" t="e">
        <f t="shared" ca="1" si="40"/>
        <v>#N/A</v>
      </c>
      <c r="CE65" s="564"/>
    </row>
    <row r="66" spans="2:83" ht="15.95" hidden="1" outlineLevel="1">
      <c r="B66" s="569"/>
      <c r="C66" s="284" t="s">
        <v>223</v>
      </c>
      <c r="D66" s="258" t="s">
        <v>191</v>
      </c>
      <c r="E66" s="285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259"/>
      <c r="BV66" s="259"/>
      <c r="BW66" s="259"/>
      <c r="BX66" s="259"/>
      <c r="BY66" s="286">
        <f t="shared" si="39"/>
        <v>0</v>
      </c>
      <c r="BZ66" s="564"/>
      <c r="CA66" s="229"/>
      <c r="CB66" s="229"/>
      <c r="CC66" s="229"/>
      <c r="CD66" s="256" t="e">
        <f t="shared" ca="1" si="40"/>
        <v>#REF!</v>
      </c>
      <c r="CE66" s="564"/>
    </row>
    <row r="67" spans="2:83" ht="15.95" hidden="1" outlineLevel="1">
      <c r="B67" s="569"/>
      <c r="C67" s="284" t="s">
        <v>230</v>
      </c>
      <c r="D67" s="258" t="s">
        <v>191</v>
      </c>
      <c r="E67" s="285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259"/>
      <c r="AO67" s="259"/>
      <c r="AP67" s="259"/>
      <c r="AQ67" s="259"/>
      <c r="AR67" s="259"/>
      <c r="AS67" s="259"/>
      <c r="AT67" s="259"/>
      <c r="AU67" s="259"/>
      <c r="AV67" s="259"/>
      <c r="AW67" s="259"/>
      <c r="AX67" s="259"/>
      <c r="AY67" s="259"/>
      <c r="AZ67" s="259"/>
      <c r="BA67" s="259"/>
      <c r="BB67" s="259"/>
      <c r="BC67" s="259"/>
      <c r="BD67" s="259"/>
      <c r="BE67" s="259"/>
      <c r="BF67" s="259"/>
      <c r="BG67" s="259"/>
      <c r="BH67" s="259"/>
      <c r="BI67" s="259"/>
      <c r="BJ67" s="259"/>
      <c r="BK67" s="259"/>
      <c r="BL67" s="259"/>
      <c r="BM67" s="259"/>
      <c r="BN67" s="259"/>
      <c r="BO67" s="259"/>
      <c r="BP67" s="259"/>
      <c r="BQ67" s="259"/>
      <c r="BR67" s="259"/>
      <c r="BS67" s="259"/>
      <c r="BT67" s="259"/>
      <c r="BU67" s="259"/>
      <c r="BV67" s="259"/>
      <c r="BW67" s="259"/>
      <c r="BX67" s="259"/>
      <c r="BY67" s="286">
        <f t="shared" si="39"/>
        <v>0</v>
      </c>
      <c r="BZ67" s="564"/>
      <c r="CA67" s="229"/>
      <c r="CB67" s="229"/>
      <c r="CC67" s="229"/>
      <c r="CD67" s="256" t="e">
        <f t="shared" ca="1" si="40"/>
        <v>#REF!</v>
      </c>
      <c r="CE67" s="564"/>
    </row>
    <row r="68" spans="2:83" ht="15.95" hidden="1" outlineLevel="1">
      <c r="B68" s="569"/>
      <c r="C68" s="284" t="s">
        <v>231</v>
      </c>
      <c r="D68" s="258" t="s">
        <v>191</v>
      </c>
      <c r="E68" s="285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259"/>
      <c r="AO68" s="259"/>
      <c r="AP68" s="259"/>
      <c r="AQ68" s="259"/>
      <c r="AR68" s="259"/>
      <c r="AS68" s="259"/>
      <c r="AT68" s="259"/>
      <c r="AU68" s="259"/>
      <c r="AV68" s="259"/>
      <c r="AW68" s="259"/>
      <c r="AX68" s="259"/>
      <c r="AY68" s="259"/>
      <c r="AZ68" s="259"/>
      <c r="BA68" s="259"/>
      <c r="BB68" s="259"/>
      <c r="BC68" s="259"/>
      <c r="BD68" s="259"/>
      <c r="BE68" s="259"/>
      <c r="BF68" s="259"/>
      <c r="BG68" s="259"/>
      <c r="BH68" s="259"/>
      <c r="BI68" s="259"/>
      <c r="BJ68" s="259"/>
      <c r="BK68" s="259"/>
      <c r="BL68" s="259"/>
      <c r="BM68" s="259"/>
      <c r="BN68" s="259"/>
      <c r="BO68" s="259"/>
      <c r="BP68" s="259"/>
      <c r="BQ68" s="259"/>
      <c r="BR68" s="259"/>
      <c r="BS68" s="259"/>
      <c r="BT68" s="259"/>
      <c r="BU68" s="259"/>
      <c r="BV68" s="259"/>
      <c r="BW68" s="259"/>
      <c r="BX68" s="259"/>
      <c r="BY68" s="286">
        <f t="shared" si="39"/>
        <v>0</v>
      </c>
      <c r="BZ68" s="564"/>
      <c r="CA68" s="229"/>
      <c r="CB68" s="229"/>
      <c r="CC68" s="229"/>
      <c r="CD68" s="256" t="e">
        <f t="shared" ca="1" si="40"/>
        <v>#REF!</v>
      </c>
      <c r="CE68" s="564"/>
    </row>
    <row r="69" spans="2:83" ht="15.95" hidden="1" outlineLevel="1">
      <c r="B69" s="569"/>
      <c r="C69" s="288" t="s">
        <v>243</v>
      </c>
      <c r="D69" s="261" t="s">
        <v>191</v>
      </c>
      <c r="E69" s="289"/>
      <c r="F69" s="289"/>
      <c r="G69" s="289"/>
      <c r="H69" s="289"/>
      <c r="I69" s="289"/>
      <c r="J69" s="289"/>
      <c r="K69" s="289"/>
      <c r="L69" s="289"/>
      <c r="M69" s="289"/>
      <c r="N69" s="289"/>
      <c r="O69" s="289"/>
      <c r="P69" s="289"/>
      <c r="Q69" s="289"/>
      <c r="R69" s="289"/>
      <c r="S69" s="289"/>
      <c r="T69" s="289"/>
      <c r="U69" s="289"/>
      <c r="V69" s="289"/>
      <c r="W69" s="289"/>
      <c r="X69" s="289"/>
      <c r="Y69" s="289"/>
      <c r="Z69" s="289"/>
      <c r="AA69" s="289"/>
      <c r="AB69" s="289"/>
      <c r="AC69" s="289"/>
      <c r="AD69" s="289"/>
      <c r="AE69" s="289"/>
      <c r="AF69" s="289"/>
      <c r="AG69" s="289"/>
      <c r="AH69" s="289"/>
      <c r="AI69" s="289"/>
      <c r="AJ69" s="289"/>
      <c r="AK69" s="289"/>
      <c r="AL69" s="289"/>
      <c r="AM69" s="289"/>
      <c r="AN69" s="289"/>
      <c r="AO69" s="289">
        <f>Businessplan_prodej!$N$24</f>
        <v>-1130984.1428571427</v>
      </c>
      <c r="AP69" s="289"/>
      <c r="AQ69" s="289"/>
      <c r="AR69" s="289"/>
      <c r="AS69" s="289"/>
      <c r="AT69" s="289"/>
      <c r="AU69" s="289"/>
      <c r="AV69" s="289"/>
      <c r="AW69" s="289"/>
      <c r="AX69" s="289"/>
      <c r="AY69" s="289"/>
      <c r="AZ69" s="289"/>
      <c r="BA69" s="289"/>
      <c r="BB69" s="289"/>
      <c r="BC69" s="289"/>
      <c r="BD69" s="289"/>
      <c r="BE69" s="289"/>
      <c r="BF69" s="289"/>
      <c r="BG69" s="289"/>
      <c r="BH69" s="289"/>
      <c r="BI69" s="289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6">
        <f t="shared" si="39"/>
        <v>-1130984.1428571427</v>
      </c>
      <c r="BZ69" s="564"/>
      <c r="CA69" s="229"/>
      <c r="CB69" s="229"/>
      <c r="CC69" s="229"/>
      <c r="CD69" s="256" t="e">
        <f t="array" aca="1" ref="CD69" ca="1">SUM(INDEX(AC69:BX69, , 1):INDEX(AC69:BX69, ,MATCH(CD43, E41:BX41,0) ))</f>
        <v>#REF!</v>
      </c>
      <c r="CE69" s="564"/>
    </row>
    <row r="70" spans="2:83" ht="15.95" collapsed="1">
      <c r="B70" s="569"/>
      <c r="C70" s="252" t="s">
        <v>244</v>
      </c>
      <c r="D70" s="253"/>
      <c r="E70" s="254">
        <f t="shared" ref="E70:BY70" si="41">SUM(E71:E72)</f>
        <v>0</v>
      </c>
      <c r="F70" s="254">
        <f t="shared" si="41"/>
        <v>0</v>
      </c>
      <c r="G70" s="254">
        <f t="shared" si="41"/>
        <v>0</v>
      </c>
      <c r="H70" s="254">
        <f t="shared" si="41"/>
        <v>0</v>
      </c>
      <c r="I70" s="254">
        <f t="shared" si="41"/>
        <v>0</v>
      </c>
      <c r="J70" s="254">
        <f t="shared" si="41"/>
        <v>0</v>
      </c>
      <c r="K70" s="254">
        <f t="shared" si="41"/>
        <v>0</v>
      </c>
      <c r="L70" s="254">
        <f t="shared" si="41"/>
        <v>0</v>
      </c>
      <c r="M70" s="254">
        <f t="shared" si="41"/>
        <v>0</v>
      </c>
      <c r="N70" s="254">
        <f t="shared" si="41"/>
        <v>0</v>
      </c>
      <c r="O70" s="254">
        <f t="shared" si="41"/>
        <v>0</v>
      </c>
      <c r="P70" s="254">
        <f t="shared" si="41"/>
        <v>0</v>
      </c>
      <c r="Q70" s="254">
        <f t="shared" si="41"/>
        <v>0</v>
      </c>
      <c r="R70" s="254">
        <f t="shared" si="41"/>
        <v>0</v>
      </c>
      <c r="S70" s="254">
        <f t="shared" si="41"/>
        <v>0</v>
      </c>
      <c r="T70" s="254">
        <f t="shared" si="41"/>
        <v>0</v>
      </c>
      <c r="U70" s="254">
        <f t="shared" si="41"/>
        <v>0</v>
      </c>
      <c r="V70" s="254">
        <f t="shared" si="41"/>
        <v>0</v>
      </c>
      <c r="W70" s="254">
        <f t="shared" si="41"/>
        <v>0</v>
      </c>
      <c r="X70" s="254">
        <f t="shared" si="41"/>
        <v>0</v>
      </c>
      <c r="Y70" s="254">
        <f t="shared" si="41"/>
        <v>0</v>
      </c>
      <c r="Z70" s="254">
        <f t="shared" si="41"/>
        <v>0</v>
      </c>
      <c r="AA70" s="254">
        <f t="shared" si="41"/>
        <v>0</v>
      </c>
      <c r="AB70" s="254">
        <f t="shared" si="41"/>
        <v>0</v>
      </c>
      <c r="AC70" s="254">
        <f t="shared" si="41"/>
        <v>0</v>
      </c>
      <c r="AD70" s="254">
        <f t="shared" si="41"/>
        <v>0</v>
      </c>
      <c r="AE70" s="254">
        <f t="shared" si="41"/>
        <v>0</v>
      </c>
      <c r="AF70" s="254">
        <f t="shared" si="41"/>
        <v>0</v>
      </c>
      <c r="AG70" s="254">
        <f t="shared" si="41"/>
        <v>0</v>
      </c>
      <c r="AH70" s="254">
        <f t="shared" si="41"/>
        <v>0</v>
      </c>
      <c r="AI70" s="254">
        <f t="shared" si="41"/>
        <v>0</v>
      </c>
      <c r="AJ70" s="254">
        <f t="shared" si="41"/>
        <v>0</v>
      </c>
      <c r="AK70" s="254">
        <f t="shared" si="41"/>
        <v>0</v>
      </c>
      <c r="AL70" s="254">
        <f t="shared" si="41"/>
        <v>0</v>
      </c>
      <c r="AM70" s="254">
        <f t="shared" si="41"/>
        <v>0</v>
      </c>
      <c r="AN70" s="254">
        <f t="shared" si="41"/>
        <v>0</v>
      </c>
      <c r="AO70" s="254">
        <f t="shared" si="41"/>
        <v>0</v>
      </c>
      <c r="AP70" s="254">
        <f t="shared" si="41"/>
        <v>0</v>
      </c>
      <c r="AQ70" s="254">
        <f t="shared" si="41"/>
        <v>0</v>
      </c>
      <c r="AR70" s="254">
        <f t="shared" si="41"/>
        <v>0</v>
      </c>
      <c r="AS70" s="254">
        <f t="shared" si="41"/>
        <v>0</v>
      </c>
      <c r="AT70" s="254">
        <f t="shared" si="41"/>
        <v>0</v>
      </c>
      <c r="AU70" s="254">
        <f t="shared" si="41"/>
        <v>0</v>
      </c>
      <c r="AV70" s="254">
        <f t="shared" si="41"/>
        <v>0</v>
      </c>
      <c r="AW70" s="254">
        <f t="shared" si="41"/>
        <v>0</v>
      </c>
      <c r="AX70" s="254">
        <f t="shared" si="41"/>
        <v>0</v>
      </c>
      <c r="AY70" s="254">
        <f t="shared" si="41"/>
        <v>0</v>
      </c>
      <c r="AZ70" s="254">
        <f t="shared" si="41"/>
        <v>0</v>
      </c>
      <c r="BA70" s="254">
        <f t="shared" si="41"/>
        <v>0</v>
      </c>
      <c r="BB70" s="254">
        <f t="shared" si="41"/>
        <v>0</v>
      </c>
      <c r="BC70" s="254">
        <f t="shared" si="41"/>
        <v>0</v>
      </c>
      <c r="BD70" s="254">
        <f t="shared" si="41"/>
        <v>0</v>
      </c>
      <c r="BE70" s="254">
        <f t="shared" si="41"/>
        <v>0</v>
      </c>
      <c r="BF70" s="254">
        <f t="shared" si="41"/>
        <v>0</v>
      </c>
      <c r="BG70" s="254">
        <f t="shared" si="41"/>
        <v>0</v>
      </c>
      <c r="BH70" s="254">
        <f t="shared" si="41"/>
        <v>0</v>
      </c>
      <c r="BI70" s="254">
        <f t="shared" si="41"/>
        <v>0</v>
      </c>
      <c r="BJ70" s="254">
        <f t="shared" si="41"/>
        <v>0</v>
      </c>
      <c r="BK70" s="254">
        <f t="shared" si="41"/>
        <v>0</v>
      </c>
      <c r="BL70" s="254">
        <f t="shared" si="41"/>
        <v>0</v>
      </c>
      <c r="BM70" s="254">
        <f t="shared" si="41"/>
        <v>0</v>
      </c>
      <c r="BN70" s="254">
        <f t="shared" si="41"/>
        <v>0</v>
      </c>
      <c r="BO70" s="254">
        <f t="shared" si="41"/>
        <v>0</v>
      </c>
      <c r="BP70" s="254">
        <f t="shared" si="41"/>
        <v>0</v>
      </c>
      <c r="BQ70" s="254">
        <f t="shared" si="41"/>
        <v>0</v>
      </c>
      <c r="BR70" s="254">
        <f t="shared" si="41"/>
        <v>0</v>
      </c>
      <c r="BS70" s="254">
        <f t="shared" si="41"/>
        <v>0</v>
      </c>
      <c r="BT70" s="254">
        <f t="shared" si="41"/>
        <v>0</v>
      </c>
      <c r="BU70" s="254">
        <f t="shared" si="41"/>
        <v>0</v>
      </c>
      <c r="BV70" s="254">
        <f t="shared" si="41"/>
        <v>0</v>
      </c>
      <c r="BW70" s="254">
        <f t="shared" si="41"/>
        <v>0</v>
      </c>
      <c r="BX70" s="254">
        <f t="shared" si="41"/>
        <v>0</v>
      </c>
      <c r="BY70" s="255">
        <f t="shared" si="41"/>
        <v>0</v>
      </c>
      <c r="BZ70" s="564"/>
      <c r="CA70" s="229"/>
      <c r="CB70" s="229">
        <f t="shared" ref="CB70:CC70" si="42">CB48+CB54</f>
        <v>33359008</v>
      </c>
      <c r="CC70" s="229">
        <f t="shared" si="42"/>
        <v>32100000</v>
      </c>
      <c r="CD70" s="256" t="e">
        <f t="array" aca="1" ref="CD70" ca="1">SUM(INDEX(E70:BX70, , 1):INDEX(E70:BX70, ,MATCH($CD$4, $E$3:$BX$3,0) ))</f>
        <v>#N/A</v>
      </c>
      <c r="CE70" s="564"/>
    </row>
    <row r="71" spans="2:83" ht="15.95" hidden="1" outlineLevel="1">
      <c r="B71" s="569"/>
      <c r="C71" s="290" t="s">
        <v>245</v>
      </c>
      <c r="D71" s="258" t="s">
        <v>191</v>
      </c>
      <c r="E71" s="291"/>
      <c r="F71" s="291"/>
      <c r="G71" s="291"/>
      <c r="H71" s="291"/>
      <c r="I71" s="291"/>
      <c r="J71" s="291"/>
      <c r="K71" s="291"/>
      <c r="L71" s="291"/>
      <c r="M71" s="291"/>
      <c r="N71" s="291"/>
      <c r="O71" s="291"/>
      <c r="P71" s="291"/>
      <c r="Q71" s="291"/>
      <c r="R71" s="291"/>
      <c r="S71" s="291"/>
      <c r="T71" s="291"/>
      <c r="U71" s="291"/>
      <c r="V71" s="291"/>
      <c r="W71" s="291"/>
      <c r="X71" s="291"/>
      <c r="Y71" s="291"/>
      <c r="Z71" s="291"/>
      <c r="AA71" s="291"/>
      <c r="AB71" s="291"/>
      <c r="AC71" s="291"/>
      <c r="AD71" s="291"/>
      <c r="AE71" s="291"/>
      <c r="AF71" s="291"/>
      <c r="AG71" s="291"/>
      <c r="AH71" s="291"/>
      <c r="AI71" s="291"/>
      <c r="AJ71" s="291"/>
      <c r="AK71" s="291"/>
      <c r="AL71" s="291"/>
      <c r="AM71" s="291"/>
      <c r="AN71" s="291"/>
      <c r="AO71" s="291"/>
      <c r="AP71" s="291"/>
      <c r="AQ71" s="291"/>
      <c r="AR71" s="291"/>
      <c r="AS71" s="291"/>
      <c r="AT71" s="291"/>
      <c r="AU71" s="291"/>
      <c r="AV71" s="291"/>
      <c r="AW71" s="291"/>
      <c r="AX71" s="291"/>
      <c r="AY71" s="291"/>
      <c r="AZ71" s="291"/>
      <c r="BA71" s="291"/>
      <c r="BB71" s="291"/>
      <c r="BC71" s="291"/>
      <c r="BD71" s="291"/>
      <c r="BE71" s="291"/>
      <c r="BF71" s="291"/>
      <c r="BG71" s="291"/>
      <c r="BH71" s="291"/>
      <c r="BI71" s="291"/>
      <c r="BJ71" s="291"/>
      <c r="BK71" s="291"/>
      <c r="BL71" s="291"/>
      <c r="BM71" s="291"/>
      <c r="BN71" s="291"/>
      <c r="BO71" s="291"/>
      <c r="BP71" s="291"/>
      <c r="BQ71" s="291"/>
      <c r="BR71" s="291"/>
      <c r="BS71" s="291"/>
      <c r="BT71" s="291"/>
      <c r="BU71" s="291"/>
      <c r="BV71" s="291"/>
      <c r="BW71" s="291"/>
      <c r="BX71" s="291"/>
      <c r="BY71" s="292">
        <f t="shared" ref="BY71:BY72" si="43">SUM(E71:BX71)</f>
        <v>0</v>
      </c>
      <c r="BZ71" s="564"/>
      <c r="CA71" s="229"/>
      <c r="CB71" s="229"/>
      <c r="CC71" s="229"/>
      <c r="CD71" s="256" t="e">
        <f t="shared" ref="CD71:CD72" ca="1" si="44">SUM(INDEX(AC71:BX71, , 1):INDEX(AC71:BX71, ,MATCH($CD$4, $E$3:$BX$3,0) ))</f>
        <v>#N/A</v>
      </c>
      <c r="CE71" s="564"/>
    </row>
    <row r="72" spans="2:83" ht="15.95" hidden="1" outlineLevel="1">
      <c r="B72" s="569"/>
      <c r="C72" s="288" t="s">
        <v>246</v>
      </c>
      <c r="D72" s="261" t="s">
        <v>191</v>
      </c>
      <c r="E72" s="293"/>
      <c r="F72" s="282"/>
      <c r="G72" s="282"/>
      <c r="H72" s="282"/>
      <c r="I72" s="282"/>
      <c r="J72" s="282"/>
      <c r="K72" s="282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  <c r="X72" s="282"/>
      <c r="Y72" s="282"/>
      <c r="Z72" s="282"/>
      <c r="AA72" s="282"/>
      <c r="AB72" s="282"/>
      <c r="AC72" s="282"/>
      <c r="AD72" s="282"/>
      <c r="AE72" s="282"/>
      <c r="AF72" s="282"/>
      <c r="AG72" s="282"/>
      <c r="AH72" s="282"/>
      <c r="AI72" s="282"/>
      <c r="AJ72" s="282"/>
      <c r="AK72" s="282"/>
      <c r="AL72" s="282"/>
      <c r="AM72" s="282"/>
      <c r="AN72" s="282"/>
      <c r="AO72" s="282"/>
      <c r="AP72" s="282"/>
      <c r="AQ72" s="282"/>
      <c r="AR72" s="282"/>
      <c r="AS72" s="282"/>
      <c r="AT72" s="282"/>
      <c r="AU72" s="282"/>
      <c r="AV72" s="282"/>
      <c r="AW72" s="282"/>
      <c r="AX72" s="282"/>
      <c r="AY72" s="282"/>
      <c r="AZ72" s="282"/>
      <c r="BA72" s="282"/>
      <c r="BB72" s="282"/>
      <c r="BC72" s="282"/>
      <c r="BD72" s="282"/>
      <c r="BE72" s="282"/>
      <c r="BF72" s="282"/>
      <c r="BG72" s="282"/>
      <c r="BH72" s="282"/>
      <c r="BI72" s="282"/>
      <c r="BJ72" s="282"/>
      <c r="BK72" s="282"/>
      <c r="BL72" s="282"/>
      <c r="BM72" s="282"/>
      <c r="BN72" s="282"/>
      <c r="BO72" s="282"/>
      <c r="BP72" s="282"/>
      <c r="BQ72" s="282"/>
      <c r="BR72" s="282"/>
      <c r="BS72" s="282"/>
      <c r="BT72" s="282"/>
      <c r="BU72" s="282"/>
      <c r="BV72" s="282"/>
      <c r="BW72" s="282"/>
      <c r="BX72" s="282"/>
      <c r="BY72" s="294">
        <f t="shared" si="43"/>
        <v>0</v>
      </c>
      <c r="BZ72" s="563"/>
      <c r="CA72" s="229"/>
      <c r="CB72" s="229"/>
      <c r="CC72" s="229"/>
      <c r="CD72" s="256" t="e">
        <f t="shared" ca="1" si="44"/>
        <v>#N/A</v>
      </c>
      <c r="CE72" s="563"/>
    </row>
    <row r="73" spans="2:83">
      <c r="B73" s="569"/>
      <c r="C73" s="252" t="s">
        <v>247</v>
      </c>
      <c r="D73" s="253"/>
      <c r="E73" s="254">
        <f t="shared" ref="E73:BX73" si="45">SUM(E74:E80)</f>
        <v>0</v>
      </c>
      <c r="F73" s="254">
        <f t="shared" si="45"/>
        <v>0</v>
      </c>
      <c r="G73" s="254">
        <f t="shared" si="45"/>
        <v>0</v>
      </c>
      <c r="H73" s="254">
        <f t="shared" si="45"/>
        <v>0</v>
      </c>
      <c r="I73" s="254">
        <f t="shared" si="45"/>
        <v>0</v>
      </c>
      <c r="J73" s="254">
        <f t="shared" si="45"/>
        <v>0</v>
      </c>
      <c r="K73" s="254">
        <f t="shared" si="45"/>
        <v>0</v>
      </c>
      <c r="L73" s="254">
        <f t="shared" si="45"/>
        <v>0</v>
      </c>
      <c r="M73" s="254">
        <f t="shared" si="45"/>
        <v>0</v>
      </c>
      <c r="N73" s="254">
        <f t="shared" si="45"/>
        <v>0</v>
      </c>
      <c r="O73" s="254">
        <f t="shared" si="45"/>
        <v>0</v>
      </c>
      <c r="P73" s="254">
        <f t="shared" si="45"/>
        <v>0</v>
      </c>
      <c r="Q73" s="254">
        <f t="shared" si="45"/>
        <v>-1918824</v>
      </c>
      <c r="R73" s="254">
        <f t="shared" si="45"/>
        <v>-50000</v>
      </c>
      <c r="S73" s="254">
        <f t="shared" si="45"/>
        <v>0</v>
      </c>
      <c r="T73" s="254">
        <f t="shared" si="45"/>
        <v>0</v>
      </c>
      <c r="U73" s="254">
        <f t="shared" si="45"/>
        <v>-20000000</v>
      </c>
      <c r="V73" s="254">
        <f t="shared" si="45"/>
        <v>0</v>
      </c>
      <c r="W73" s="254">
        <f t="shared" si="45"/>
        <v>0</v>
      </c>
      <c r="X73" s="254">
        <f t="shared" si="45"/>
        <v>0</v>
      </c>
      <c r="Y73" s="254">
        <f t="shared" si="45"/>
        <v>0</v>
      </c>
      <c r="Z73" s="254">
        <f t="shared" si="45"/>
        <v>0</v>
      </c>
      <c r="AA73" s="254">
        <f t="shared" si="45"/>
        <v>0</v>
      </c>
      <c r="AB73" s="254">
        <f t="shared" si="45"/>
        <v>0</v>
      </c>
      <c r="AC73" s="254">
        <f t="shared" si="45"/>
        <v>0</v>
      </c>
      <c r="AD73" s="254">
        <f t="shared" si="45"/>
        <v>0</v>
      </c>
      <c r="AE73" s="254">
        <f t="shared" si="45"/>
        <v>0</v>
      </c>
      <c r="AF73" s="254">
        <f t="shared" si="45"/>
        <v>0</v>
      </c>
      <c r="AG73" s="254">
        <f t="shared" si="45"/>
        <v>0</v>
      </c>
      <c r="AH73" s="254">
        <f t="shared" si="45"/>
        <v>0</v>
      </c>
      <c r="AI73" s="254">
        <f t="shared" si="45"/>
        <v>0</v>
      </c>
      <c r="AJ73" s="254">
        <f t="shared" si="45"/>
        <v>0</v>
      </c>
      <c r="AK73" s="254">
        <f t="shared" si="45"/>
        <v>0</v>
      </c>
      <c r="AL73" s="254">
        <f t="shared" si="45"/>
        <v>0</v>
      </c>
      <c r="AM73" s="254">
        <f t="shared" si="45"/>
        <v>0</v>
      </c>
      <c r="AN73" s="254">
        <f t="shared" si="45"/>
        <v>0</v>
      </c>
      <c r="AO73" s="254">
        <f t="shared" si="45"/>
        <v>-96920341.333333343</v>
      </c>
      <c r="AP73" s="254">
        <f t="shared" si="45"/>
        <v>0</v>
      </c>
      <c r="AQ73" s="254">
        <f t="shared" si="45"/>
        <v>0</v>
      </c>
      <c r="AR73" s="254">
        <f t="shared" si="45"/>
        <v>0</v>
      </c>
      <c r="AS73" s="254">
        <f t="shared" si="45"/>
        <v>0</v>
      </c>
      <c r="AT73" s="254">
        <f t="shared" si="45"/>
        <v>0</v>
      </c>
      <c r="AU73" s="254">
        <f t="shared" si="45"/>
        <v>0</v>
      </c>
      <c r="AV73" s="254">
        <f t="shared" si="45"/>
        <v>0</v>
      </c>
      <c r="AW73" s="254">
        <f t="shared" si="45"/>
        <v>0</v>
      </c>
      <c r="AX73" s="254">
        <f t="shared" si="45"/>
        <v>0</v>
      </c>
      <c r="AY73" s="254">
        <f t="shared" si="45"/>
        <v>0</v>
      </c>
      <c r="AZ73" s="254">
        <f t="shared" si="45"/>
        <v>0</v>
      </c>
      <c r="BA73" s="254">
        <f t="shared" si="45"/>
        <v>0</v>
      </c>
      <c r="BB73" s="254">
        <f t="shared" si="45"/>
        <v>0</v>
      </c>
      <c r="BC73" s="254">
        <f t="shared" si="45"/>
        <v>0</v>
      </c>
      <c r="BD73" s="254">
        <f t="shared" si="45"/>
        <v>0</v>
      </c>
      <c r="BE73" s="254">
        <f t="shared" si="45"/>
        <v>0</v>
      </c>
      <c r="BF73" s="254">
        <f t="shared" si="45"/>
        <v>0</v>
      </c>
      <c r="BG73" s="254">
        <f t="shared" si="45"/>
        <v>0</v>
      </c>
      <c r="BH73" s="254">
        <f t="shared" si="45"/>
        <v>0</v>
      </c>
      <c r="BI73" s="254">
        <f t="shared" si="45"/>
        <v>0</v>
      </c>
      <c r="BJ73" s="254">
        <f t="shared" si="45"/>
        <v>0</v>
      </c>
      <c r="BK73" s="254">
        <f t="shared" si="45"/>
        <v>0</v>
      </c>
      <c r="BL73" s="254">
        <f t="shared" si="45"/>
        <v>0</v>
      </c>
      <c r="BM73" s="254">
        <f t="shared" si="45"/>
        <v>0</v>
      </c>
      <c r="BN73" s="254">
        <f t="shared" si="45"/>
        <v>0</v>
      </c>
      <c r="BO73" s="254">
        <f t="shared" si="45"/>
        <v>0</v>
      </c>
      <c r="BP73" s="254">
        <f t="shared" si="45"/>
        <v>0</v>
      </c>
      <c r="BQ73" s="254">
        <f t="shared" si="45"/>
        <v>0</v>
      </c>
      <c r="BR73" s="254">
        <f t="shared" si="45"/>
        <v>0</v>
      </c>
      <c r="BS73" s="254">
        <f t="shared" si="45"/>
        <v>0</v>
      </c>
      <c r="BT73" s="254">
        <f t="shared" si="45"/>
        <v>0</v>
      </c>
      <c r="BU73" s="254">
        <f t="shared" si="45"/>
        <v>0</v>
      </c>
      <c r="BV73" s="254">
        <f t="shared" si="45"/>
        <v>0</v>
      </c>
      <c r="BW73" s="254">
        <f t="shared" si="45"/>
        <v>0</v>
      </c>
      <c r="BX73" s="254">
        <f t="shared" si="45"/>
        <v>0</v>
      </c>
      <c r="BY73" s="536">
        <f>SUM(BZ18:BZ61)</f>
        <v>-117372859.61409269</v>
      </c>
      <c r="BZ73" s="568"/>
      <c r="CA73" s="229"/>
      <c r="CB73" s="229"/>
      <c r="CC73" s="229"/>
      <c r="CD73" s="229"/>
      <c r="CE73" s="229"/>
    </row>
    <row r="74" spans="2:83" outlineLevel="1">
      <c r="B74" s="569"/>
      <c r="C74" s="257" t="s">
        <v>248</v>
      </c>
      <c r="D74" s="258" t="s">
        <v>191</v>
      </c>
      <c r="E74" s="259"/>
      <c r="F74" s="259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>
        <f>-1918824</f>
        <v>-1918824</v>
      </c>
      <c r="R74" s="259"/>
      <c r="S74" s="259"/>
      <c r="T74" s="259"/>
      <c r="U74" s="348">
        <f>-4000000</f>
        <v>-4000000</v>
      </c>
      <c r="V74" s="259"/>
      <c r="W74" s="348"/>
      <c r="X74" s="259"/>
      <c r="Y74" s="259"/>
      <c r="Z74" s="259"/>
      <c r="AA74" s="259"/>
      <c r="AB74" s="259"/>
      <c r="AC74" s="259"/>
      <c r="AD74" s="259"/>
      <c r="AE74" s="259"/>
      <c r="AF74" s="259"/>
      <c r="AG74" s="259"/>
      <c r="AH74" s="259"/>
      <c r="AI74" s="259"/>
      <c r="AJ74" s="259"/>
      <c r="AK74" s="259"/>
      <c r="AL74" s="259"/>
      <c r="AM74" s="259"/>
      <c r="AN74" s="259"/>
      <c r="AO74" s="259">
        <f>-$BY$5-SUM($E$74:AN74)</f>
        <v>-6761306</v>
      </c>
      <c r="AP74" s="259"/>
      <c r="AQ74" s="259"/>
      <c r="AR74" s="259"/>
      <c r="AS74" s="259"/>
      <c r="AT74" s="259"/>
      <c r="AU74" s="259"/>
      <c r="AV74" s="259"/>
      <c r="AW74" s="259"/>
      <c r="AX74" s="259"/>
      <c r="AY74" s="259"/>
      <c r="AZ74" s="259"/>
      <c r="BA74" s="259"/>
      <c r="BB74" s="259"/>
      <c r="BC74" s="285"/>
      <c r="BD74" s="259"/>
      <c r="BE74" s="259"/>
      <c r="BF74" s="259"/>
      <c r="BG74" s="259"/>
      <c r="BH74" s="259"/>
      <c r="BI74" s="259"/>
      <c r="BJ74" s="259"/>
      <c r="BK74" s="259"/>
      <c r="BL74" s="259"/>
      <c r="BM74" s="259"/>
      <c r="BN74" s="259"/>
      <c r="BO74" s="259"/>
      <c r="BP74" s="259"/>
      <c r="BQ74" s="259"/>
      <c r="BR74" s="259"/>
      <c r="BS74" s="259"/>
      <c r="BT74" s="259"/>
      <c r="BU74" s="259"/>
      <c r="BV74" s="259"/>
      <c r="BW74" s="259"/>
      <c r="BX74" s="265"/>
      <c r="BY74" s="292">
        <f t="shared" ref="BY74:BY80" si="46">SUM(E74:BX74)</f>
        <v>-12680130</v>
      </c>
      <c r="BZ74" s="537">
        <f>SUM(BY74:BY80)</f>
        <v>-118889165.33333334</v>
      </c>
      <c r="CA74" s="229"/>
      <c r="CB74" s="229"/>
      <c r="CC74" s="229"/>
      <c r="CD74" s="229"/>
      <c r="CE74" s="229"/>
    </row>
    <row r="75" spans="2:83" outlineLevel="1">
      <c r="B75" s="569"/>
      <c r="C75" s="257" t="s">
        <v>249</v>
      </c>
      <c r="D75" s="258" t="s">
        <v>191</v>
      </c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348">
        <f>U74*4</f>
        <v>-16000000</v>
      </c>
      <c r="V75" s="259"/>
      <c r="W75" s="348"/>
      <c r="X75" s="259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/>
      <c r="AN75" s="259"/>
      <c r="AO75" s="259">
        <f>-$BY$6-SUM($E$75:AN75)</f>
        <v>-26597702</v>
      </c>
      <c r="AP75" s="259"/>
      <c r="AQ75" s="259"/>
      <c r="AR75" s="259"/>
      <c r="AS75" s="259"/>
      <c r="AT75" s="259"/>
      <c r="AU75" s="259"/>
      <c r="AV75" s="259"/>
      <c r="AW75" s="259"/>
      <c r="AX75" s="259"/>
      <c r="AY75" s="259"/>
      <c r="AZ75" s="259"/>
      <c r="BA75" s="259"/>
      <c r="BB75" s="259"/>
      <c r="BC75" s="259"/>
      <c r="BD75" s="259"/>
      <c r="BE75" s="259"/>
      <c r="BF75" s="259"/>
      <c r="BG75" s="259"/>
      <c r="BH75" s="259"/>
      <c r="BI75" s="259"/>
      <c r="BJ75" s="259"/>
      <c r="BK75" s="259"/>
      <c r="BL75" s="259"/>
      <c r="BM75" s="259"/>
      <c r="BN75" s="259"/>
      <c r="BO75" s="259"/>
      <c r="BP75" s="259"/>
      <c r="BQ75" s="259"/>
      <c r="BR75" s="259"/>
      <c r="BS75" s="259"/>
      <c r="BT75" s="259"/>
      <c r="BU75" s="259"/>
      <c r="BV75" s="259"/>
      <c r="BW75" s="259"/>
      <c r="BX75" s="265"/>
      <c r="BY75" s="286">
        <f t="shared" si="46"/>
        <v>-42597702</v>
      </c>
      <c r="BZ75" s="564"/>
      <c r="CA75" s="229"/>
      <c r="CB75" s="229"/>
      <c r="CC75" s="229"/>
      <c r="CD75" s="229"/>
      <c r="CE75" s="229"/>
    </row>
    <row r="76" spans="2:83" outlineLevel="1">
      <c r="B76" s="569"/>
      <c r="C76" s="257" t="s">
        <v>250</v>
      </c>
      <c r="D76" s="258" t="s">
        <v>191</v>
      </c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259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/>
      <c r="AK76" s="259"/>
      <c r="AL76" s="259"/>
      <c r="AM76" s="259"/>
      <c r="AN76" s="259"/>
      <c r="AO76" s="259"/>
      <c r="AP76" s="259"/>
      <c r="AQ76" s="259"/>
      <c r="AR76" s="259"/>
      <c r="AS76" s="259"/>
      <c r="AT76" s="259"/>
      <c r="AU76" s="259"/>
      <c r="AV76" s="259"/>
      <c r="AW76" s="259"/>
      <c r="AX76" s="259"/>
      <c r="AY76" s="259"/>
      <c r="AZ76" s="259"/>
      <c r="BA76" s="259"/>
      <c r="BB76" s="259"/>
      <c r="BC76" s="259"/>
      <c r="BD76" s="259"/>
      <c r="BE76" s="259"/>
      <c r="BF76" s="259"/>
      <c r="BG76" s="259"/>
      <c r="BH76" s="259"/>
      <c r="BI76" s="259"/>
      <c r="BJ76" s="259"/>
      <c r="BK76" s="259"/>
      <c r="BL76" s="259"/>
      <c r="BM76" s="259"/>
      <c r="BN76" s="259"/>
      <c r="BO76" s="259"/>
      <c r="BP76" s="259"/>
      <c r="BQ76" s="259"/>
      <c r="BR76" s="259"/>
      <c r="BS76" s="259"/>
      <c r="BT76" s="259"/>
      <c r="BU76" s="259"/>
      <c r="BV76" s="259"/>
      <c r="BW76" s="259"/>
      <c r="BX76" s="265"/>
      <c r="BY76" s="286">
        <f t="shared" si="46"/>
        <v>0</v>
      </c>
      <c r="BZ76" s="564"/>
      <c r="CA76" s="229"/>
      <c r="CB76" s="229"/>
      <c r="CC76" s="229"/>
      <c r="CD76" s="229"/>
      <c r="CE76" s="229"/>
    </row>
    <row r="77" spans="2:83" outlineLevel="1">
      <c r="B77" s="569"/>
      <c r="C77" s="257" t="s">
        <v>251</v>
      </c>
      <c r="D77" s="258" t="s">
        <v>191</v>
      </c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59"/>
      <c r="AO77" s="259"/>
      <c r="AP77" s="259"/>
      <c r="AQ77" s="259"/>
      <c r="AR77" s="259"/>
      <c r="AS77" s="259"/>
      <c r="AT77" s="259"/>
      <c r="AU77" s="259"/>
      <c r="AV77" s="259"/>
      <c r="AW77" s="259"/>
      <c r="AX77" s="259"/>
      <c r="AY77" s="259"/>
      <c r="AZ77" s="259"/>
      <c r="BA77" s="259"/>
      <c r="BB77" s="259"/>
      <c r="BC77" s="259"/>
      <c r="BD77" s="259"/>
      <c r="BE77" s="259"/>
      <c r="BF77" s="259"/>
      <c r="BG77" s="259"/>
      <c r="BH77" s="259"/>
      <c r="BI77" s="259"/>
      <c r="BJ77" s="259"/>
      <c r="BK77" s="259"/>
      <c r="BL77" s="259"/>
      <c r="BM77" s="259"/>
      <c r="BN77" s="259"/>
      <c r="BO77" s="259"/>
      <c r="BP77" s="259"/>
      <c r="BQ77" s="259"/>
      <c r="BR77" s="259"/>
      <c r="BS77" s="259"/>
      <c r="BT77" s="259"/>
      <c r="BU77" s="259"/>
      <c r="BV77" s="259"/>
      <c r="BW77" s="259"/>
      <c r="BX77" s="265"/>
      <c r="BY77" s="286">
        <f t="shared" si="46"/>
        <v>0</v>
      </c>
      <c r="BZ77" s="564"/>
      <c r="CA77" s="229"/>
      <c r="CB77" s="229"/>
      <c r="CC77" s="229"/>
      <c r="CD77" s="229"/>
      <c r="CE77" s="229"/>
    </row>
    <row r="78" spans="2:83" outlineLevel="1">
      <c r="B78" s="569"/>
      <c r="C78" s="257" t="s">
        <v>252</v>
      </c>
      <c r="D78" s="258" t="s">
        <v>191</v>
      </c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>
        <f>-50000</f>
        <v>-50000</v>
      </c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59"/>
      <c r="AO78" s="259"/>
      <c r="AP78" s="259"/>
      <c r="AQ78" s="259"/>
      <c r="AR78" s="259"/>
      <c r="AS78" s="259"/>
      <c r="AT78" s="259"/>
      <c r="AU78" s="259"/>
      <c r="AV78" s="259"/>
      <c r="AW78" s="259"/>
      <c r="AX78" s="259"/>
      <c r="AY78" s="259"/>
      <c r="AZ78" s="259"/>
      <c r="BA78" s="259"/>
      <c r="BB78" s="259"/>
      <c r="BC78" s="285"/>
      <c r="BD78" s="259"/>
      <c r="BE78" s="259"/>
      <c r="BF78" s="259"/>
      <c r="BG78" s="259"/>
      <c r="BH78" s="259"/>
      <c r="BI78" s="259"/>
      <c r="BJ78" s="259"/>
      <c r="BK78" s="259"/>
      <c r="BL78" s="259"/>
      <c r="BM78" s="259"/>
      <c r="BN78" s="259"/>
      <c r="BO78" s="259"/>
      <c r="BP78" s="259"/>
      <c r="BQ78" s="259"/>
      <c r="BR78" s="259"/>
      <c r="BS78" s="259"/>
      <c r="BT78" s="259"/>
      <c r="BU78" s="259"/>
      <c r="BV78" s="259"/>
      <c r="BW78" s="259"/>
      <c r="BX78" s="265"/>
      <c r="BY78" s="286">
        <f t="shared" si="46"/>
        <v>-50000</v>
      </c>
      <c r="BZ78" s="564"/>
      <c r="CA78" s="229"/>
      <c r="CB78" s="229"/>
      <c r="CC78" s="229"/>
      <c r="CD78" s="229"/>
      <c r="CE78" s="229"/>
    </row>
    <row r="79" spans="2:83" outlineLevel="1">
      <c r="B79" s="569"/>
      <c r="C79" s="257" t="s">
        <v>253</v>
      </c>
      <c r="D79" s="258" t="s">
        <v>191</v>
      </c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59"/>
      <c r="AP79" s="259"/>
      <c r="AQ79" s="259"/>
      <c r="AR79" s="259"/>
      <c r="AS79" s="259"/>
      <c r="AT79" s="259"/>
      <c r="AU79" s="259"/>
      <c r="AV79" s="259"/>
      <c r="AW79" s="259"/>
      <c r="AX79" s="259"/>
      <c r="AY79" s="259"/>
      <c r="AZ79" s="259"/>
      <c r="BA79" s="259"/>
      <c r="BB79" s="259"/>
      <c r="BC79" s="285"/>
      <c r="BD79" s="259"/>
      <c r="BE79" s="259"/>
      <c r="BF79" s="259"/>
      <c r="BG79" s="259"/>
      <c r="BH79" s="259"/>
      <c r="BI79" s="259"/>
      <c r="BJ79" s="259"/>
      <c r="BK79" s="259"/>
      <c r="BL79" s="259"/>
      <c r="BM79" s="259"/>
      <c r="BN79" s="259"/>
      <c r="BO79" s="259"/>
      <c r="BP79" s="259"/>
      <c r="BQ79" s="259"/>
      <c r="BR79" s="259"/>
      <c r="BS79" s="259"/>
      <c r="BT79" s="259"/>
      <c r="BU79" s="259"/>
      <c r="BV79" s="259"/>
      <c r="BW79" s="259"/>
      <c r="BX79" s="265"/>
      <c r="BY79" s="295">
        <f t="shared" si="46"/>
        <v>0</v>
      </c>
      <c r="BZ79" s="564"/>
      <c r="CA79" s="229"/>
      <c r="CB79" s="229"/>
      <c r="CC79" s="229"/>
      <c r="CD79" s="229"/>
      <c r="CE79" s="229"/>
    </row>
    <row r="80" spans="2:83" outlineLevel="1">
      <c r="B80" s="570"/>
      <c r="C80" s="279" t="s">
        <v>254</v>
      </c>
      <c r="D80" s="296" t="s">
        <v>191</v>
      </c>
      <c r="E80" s="281"/>
      <c r="F80" s="281"/>
      <c r="G80" s="281"/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>
        <f>-BZ9</f>
        <v>-63561333.333333336</v>
      </c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2"/>
      <c r="BY80" s="269">
        <f t="shared" si="46"/>
        <v>-63561333.333333336</v>
      </c>
      <c r="BZ80" s="571"/>
      <c r="CA80" s="229"/>
      <c r="CB80" s="229"/>
      <c r="CC80" s="229"/>
      <c r="CD80" s="229"/>
      <c r="CE80" s="229"/>
    </row>
    <row r="81" spans="2:83" ht="15.95">
      <c r="B81" s="540" t="s">
        <v>255</v>
      </c>
      <c r="C81" s="563"/>
      <c r="D81" s="297" t="s">
        <v>191</v>
      </c>
      <c r="E81" s="298">
        <f t="shared" ref="E81:BX81" si="47">(E18+E24+E27+E35+E38+E48+E54+E62+E70+E73)</f>
        <v>0</v>
      </c>
      <c r="F81" s="298">
        <f t="shared" si="47"/>
        <v>0</v>
      </c>
      <c r="G81" s="298">
        <f t="shared" si="47"/>
        <v>0</v>
      </c>
      <c r="H81" s="298">
        <f t="shared" si="47"/>
        <v>0</v>
      </c>
      <c r="I81" s="298">
        <f t="shared" si="47"/>
        <v>-87324</v>
      </c>
      <c r="J81" s="298">
        <f t="shared" si="47"/>
        <v>-100000</v>
      </c>
      <c r="K81" s="298">
        <f t="shared" si="47"/>
        <v>-600</v>
      </c>
      <c r="L81" s="298">
        <f t="shared" si="47"/>
        <v>-5024121.0999999996</v>
      </c>
      <c r="M81" s="298">
        <f t="shared" si="47"/>
        <v>-607.44000000000005</v>
      </c>
      <c r="N81" s="298">
        <f t="shared" si="47"/>
        <v>-12221</v>
      </c>
      <c r="O81" s="298">
        <f t="shared" si="47"/>
        <v>-26087.89256198347</v>
      </c>
      <c r="P81" s="298">
        <f t="shared" si="47"/>
        <v>-31398.685950413223</v>
      </c>
      <c r="Q81" s="298">
        <f t="shared" si="47"/>
        <v>-2392622.4132231404</v>
      </c>
      <c r="R81" s="298">
        <f t="shared" si="47"/>
        <v>-230793.06438016528</v>
      </c>
      <c r="S81" s="298">
        <f t="shared" si="47"/>
        <v>-1021745.4445454546</v>
      </c>
      <c r="T81" s="298">
        <f t="shared" si="47"/>
        <v>-450136.63256198348</v>
      </c>
      <c r="U81" s="298">
        <f t="shared" si="47"/>
        <v>-41758446.632561982</v>
      </c>
      <c r="V81" s="298">
        <f t="shared" si="47"/>
        <v>-1870894.8825619835</v>
      </c>
      <c r="W81" s="298">
        <f t="shared" si="47"/>
        <v>-1138446.6325619835</v>
      </c>
      <c r="X81" s="298">
        <f t="shared" si="47"/>
        <v>-707636.63256198354</v>
      </c>
      <c r="Y81" s="298">
        <f t="shared" si="47"/>
        <v>-707636.63256198354</v>
      </c>
      <c r="Z81" s="298">
        <f t="shared" si="47"/>
        <v>-6989319.3303397615</v>
      </c>
      <c r="AA81" s="298">
        <f t="shared" si="47"/>
        <v>-6989319.3303397615</v>
      </c>
      <c r="AB81" s="298">
        <f t="shared" si="47"/>
        <v>-6989319.3303397615</v>
      </c>
      <c r="AC81" s="298">
        <f t="shared" si="47"/>
        <v>-7008292.8203397617</v>
      </c>
      <c r="AD81" s="298">
        <f t="shared" si="47"/>
        <v>-7008292.8203397617</v>
      </c>
      <c r="AE81" s="298">
        <f t="shared" si="47"/>
        <v>-7008292.8203397617</v>
      </c>
      <c r="AF81" s="298">
        <f t="shared" si="47"/>
        <v>-7008292.8203397617</v>
      </c>
      <c r="AG81" s="298">
        <f t="shared" si="47"/>
        <v>-7099372.8203397617</v>
      </c>
      <c r="AH81" s="298">
        <f t="shared" si="47"/>
        <v>-7247358.8803397613</v>
      </c>
      <c r="AI81" s="298">
        <f t="shared" si="47"/>
        <v>-602045.21933472098</v>
      </c>
      <c r="AJ81" s="298">
        <f t="shared" si="47"/>
        <v>-2444342.8492286499</v>
      </c>
      <c r="AK81" s="298">
        <f t="shared" si="47"/>
        <v>-2519009.5158953168</v>
      </c>
      <c r="AL81" s="298">
        <f t="shared" si="47"/>
        <v>-2593676.1825619834</v>
      </c>
      <c r="AM81" s="298">
        <f t="shared" si="47"/>
        <v>-2668342.8492286499</v>
      </c>
      <c r="AN81" s="298">
        <f t="shared" si="47"/>
        <v>-2781222.8492286499</v>
      </c>
      <c r="AO81" s="298">
        <f t="shared" si="47"/>
        <v>-103744805.42285715</v>
      </c>
      <c r="AP81" s="298">
        <f t="shared" si="47"/>
        <v>0</v>
      </c>
      <c r="AQ81" s="298">
        <f t="shared" si="47"/>
        <v>0</v>
      </c>
      <c r="AR81" s="298">
        <f t="shared" si="47"/>
        <v>0</v>
      </c>
      <c r="AS81" s="298">
        <f t="shared" si="47"/>
        <v>0</v>
      </c>
      <c r="AT81" s="298">
        <f t="shared" si="47"/>
        <v>0</v>
      </c>
      <c r="AU81" s="298">
        <f t="shared" si="47"/>
        <v>0</v>
      </c>
      <c r="AV81" s="298">
        <f t="shared" si="47"/>
        <v>0</v>
      </c>
      <c r="AW81" s="298">
        <f t="shared" si="47"/>
        <v>0</v>
      </c>
      <c r="AX81" s="298">
        <f t="shared" si="47"/>
        <v>0</v>
      </c>
      <c r="AY81" s="298">
        <f t="shared" si="47"/>
        <v>0</v>
      </c>
      <c r="AZ81" s="298">
        <f t="shared" si="47"/>
        <v>0</v>
      </c>
      <c r="BA81" s="298">
        <f t="shared" si="47"/>
        <v>0</v>
      </c>
      <c r="BB81" s="298">
        <f t="shared" si="47"/>
        <v>0</v>
      </c>
      <c r="BC81" s="298">
        <f t="shared" si="47"/>
        <v>0</v>
      </c>
      <c r="BD81" s="298">
        <f t="shared" si="47"/>
        <v>0</v>
      </c>
      <c r="BE81" s="298">
        <f t="shared" si="47"/>
        <v>0</v>
      </c>
      <c r="BF81" s="298">
        <f t="shared" si="47"/>
        <v>0</v>
      </c>
      <c r="BG81" s="298">
        <f t="shared" si="47"/>
        <v>0</v>
      </c>
      <c r="BH81" s="298">
        <f t="shared" si="47"/>
        <v>0</v>
      </c>
      <c r="BI81" s="298">
        <f t="shared" si="47"/>
        <v>0</v>
      </c>
      <c r="BJ81" s="298">
        <f t="shared" si="47"/>
        <v>0</v>
      </c>
      <c r="BK81" s="298">
        <f t="shared" si="47"/>
        <v>0</v>
      </c>
      <c r="BL81" s="298">
        <f t="shared" si="47"/>
        <v>0</v>
      </c>
      <c r="BM81" s="298">
        <f t="shared" si="47"/>
        <v>0</v>
      </c>
      <c r="BN81" s="298">
        <f t="shared" si="47"/>
        <v>0</v>
      </c>
      <c r="BO81" s="298">
        <f t="shared" si="47"/>
        <v>0</v>
      </c>
      <c r="BP81" s="298">
        <f t="shared" si="47"/>
        <v>0</v>
      </c>
      <c r="BQ81" s="298">
        <f t="shared" si="47"/>
        <v>0</v>
      </c>
      <c r="BR81" s="298">
        <f t="shared" si="47"/>
        <v>0</v>
      </c>
      <c r="BS81" s="298">
        <f t="shared" si="47"/>
        <v>0</v>
      </c>
      <c r="BT81" s="298">
        <f t="shared" si="47"/>
        <v>0</v>
      </c>
      <c r="BU81" s="298">
        <f t="shared" si="47"/>
        <v>0</v>
      </c>
      <c r="BV81" s="298">
        <f t="shared" si="47"/>
        <v>0</v>
      </c>
      <c r="BW81" s="298">
        <f t="shared" si="47"/>
        <v>0</v>
      </c>
      <c r="BX81" s="298">
        <f t="shared" si="47"/>
        <v>0</v>
      </c>
      <c r="BY81" s="538">
        <f>BZ74</f>
        <v>-118889165.33333334</v>
      </c>
      <c r="BZ81" s="570"/>
      <c r="CA81" s="229"/>
      <c r="CB81" s="229"/>
      <c r="CC81" s="229"/>
      <c r="CD81" s="229"/>
      <c r="CE81" s="229"/>
    </row>
    <row r="82" spans="2:83" ht="15.95">
      <c r="B82" s="540" t="s">
        <v>256</v>
      </c>
      <c r="C82" s="563"/>
      <c r="D82" s="297"/>
      <c r="E82" s="298">
        <f>E81</f>
        <v>0</v>
      </c>
      <c r="F82" s="298">
        <f t="shared" ref="F82:BX82" si="48">E82+F81</f>
        <v>0</v>
      </c>
      <c r="G82" s="298">
        <f t="shared" si="48"/>
        <v>0</v>
      </c>
      <c r="H82" s="298">
        <f t="shared" si="48"/>
        <v>0</v>
      </c>
      <c r="I82" s="298">
        <f t="shared" si="48"/>
        <v>-87324</v>
      </c>
      <c r="J82" s="298">
        <f t="shared" si="48"/>
        <v>-187324</v>
      </c>
      <c r="K82" s="298">
        <f t="shared" si="48"/>
        <v>-187924</v>
      </c>
      <c r="L82" s="298">
        <f t="shared" si="48"/>
        <v>-5212045.0999999996</v>
      </c>
      <c r="M82" s="298">
        <f t="shared" si="48"/>
        <v>-5212652.54</v>
      </c>
      <c r="N82" s="298">
        <f t="shared" si="48"/>
        <v>-5224873.54</v>
      </c>
      <c r="O82" s="298">
        <f t="shared" si="48"/>
        <v>-5250961.4325619834</v>
      </c>
      <c r="P82" s="298">
        <f t="shared" si="48"/>
        <v>-5282360.1185123967</v>
      </c>
      <c r="Q82" s="298">
        <f t="shared" si="48"/>
        <v>-7674982.5317355376</v>
      </c>
      <c r="R82" s="298">
        <f t="shared" si="48"/>
        <v>-7905775.5961157028</v>
      </c>
      <c r="S82" s="298">
        <f t="shared" si="48"/>
        <v>-8927521.040661158</v>
      </c>
      <c r="T82" s="298">
        <f t="shared" si="48"/>
        <v>-9377657.6732231416</v>
      </c>
      <c r="U82" s="298">
        <f t="shared" si="48"/>
        <v>-51136104.30578512</v>
      </c>
      <c r="V82" s="298">
        <f t="shared" si="48"/>
        <v>-53006999.188347101</v>
      </c>
      <c r="W82" s="298">
        <f t="shared" si="48"/>
        <v>-54145445.820909083</v>
      </c>
      <c r="X82" s="298">
        <f t="shared" si="48"/>
        <v>-54853082.453471065</v>
      </c>
      <c r="Y82" s="298">
        <f t="shared" si="48"/>
        <v>-55560719.086033046</v>
      </c>
      <c r="Z82" s="298">
        <f t="shared" si="48"/>
        <v>-62550038.416372806</v>
      </c>
      <c r="AA82" s="298">
        <f t="shared" si="48"/>
        <v>-69539357.746712565</v>
      </c>
      <c r="AB82" s="298">
        <f t="shared" si="48"/>
        <v>-76528677.077052325</v>
      </c>
      <c r="AC82" s="298">
        <f t="shared" si="48"/>
        <v>-83536969.897392094</v>
      </c>
      <c r="AD82" s="298">
        <f t="shared" si="48"/>
        <v>-90545262.717731863</v>
      </c>
      <c r="AE82" s="298">
        <f t="shared" si="48"/>
        <v>-97553555.538071632</v>
      </c>
      <c r="AF82" s="298">
        <f t="shared" si="48"/>
        <v>-104561848.3584114</v>
      </c>
      <c r="AG82" s="298">
        <f t="shared" si="48"/>
        <v>-111661221.17875117</v>
      </c>
      <c r="AH82" s="298">
        <f t="shared" si="48"/>
        <v>-118908580.05909093</v>
      </c>
      <c r="AI82" s="298">
        <f t="shared" si="48"/>
        <v>-119510625.27842565</v>
      </c>
      <c r="AJ82" s="298">
        <f t="shared" si="48"/>
        <v>-121954968.1276543</v>
      </c>
      <c r="AK82" s="298">
        <f t="shared" si="48"/>
        <v>-124473977.64354962</v>
      </c>
      <c r="AL82" s="298">
        <f t="shared" si="48"/>
        <v>-127067653.8261116</v>
      </c>
      <c r="AM82" s="298">
        <f t="shared" si="48"/>
        <v>-129735996.67534025</v>
      </c>
      <c r="AN82" s="298">
        <f t="shared" si="48"/>
        <v>-132517219.5245689</v>
      </c>
      <c r="AO82" s="298">
        <f t="shared" si="48"/>
        <v>-236262024.94742605</v>
      </c>
      <c r="AP82" s="298">
        <f t="shared" si="48"/>
        <v>-236262024.94742605</v>
      </c>
      <c r="AQ82" s="298">
        <f t="shared" si="48"/>
        <v>-236262024.94742605</v>
      </c>
      <c r="AR82" s="298">
        <f t="shared" si="48"/>
        <v>-236262024.94742605</v>
      </c>
      <c r="AS82" s="298">
        <f t="shared" si="48"/>
        <v>-236262024.94742605</v>
      </c>
      <c r="AT82" s="298">
        <f t="shared" si="48"/>
        <v>-236262024.94742605</v>
      </c>
      <c r="AU82" s="298">
        <f t="shared" si="48"/>
        <v>-236262024.94742605</v>
      </c>
      <c r="AV82" s="298">
        <f t="shared" si="48"/>
        <v>-236262024.94742605</v>
      </c>
      <c r="AW82" s="298">
        <f t="shared" si="48"/>
        <v>-236262024.94742605</v>
      </c>
      <c r="AX82" s="298">
        <f t="shared" si="48"/>
        <v>-236262024.94742605</v>
      </c>
      <c r="AY82" s="298">
        <f t="shared" si="48"/>
        <v>-236262024.94742605</v>
      </c>
      <c r="AZ82" s="298">
        <f t="shared" si="48"/>
        <v>-236262024.94742605</v>
      </c>
      <c r="BA82" s="298">
        <f t="shared" si="48"/>
        <v>-236262024.94742605</v>
      </c>
      <c r="BB82" s="298">
        <f t="shared" si="48"/>
        <v>-236262024.94742605</v>
      </c>
      <c r="BC82" s="298">
        <f t="shared" si="48"/>
        <v>-236262024.94742605</v>
      </c>
      <c r="BD82" s="298">
        <f t="shared" si="48"/>
        <v>-236262024.94742605</v>
      </c>
      <c r="BE82" s="298">
        <f t="shared" si="48"/>
        <v>-236262024.94742605</v>
      </c>
      <c r="BF82" s="298">
        <f t="shared" si="48"/>
        <v>-236262024.94742605</v>
      </c>
      <c r="BG82" s="298">
        <f t="shared" si="48"/>
        <v>-236262024.94742605</v>
      </c>
      <c r="BH82" s="298">
        <f t="shared" si="48"/>
        <v>-236262024.94742605</v>
      </c>
      <c r="BI82" s="298">
        <f t="shared" si="48"/>
        <v>-236262024.94742605</v>
      </c>
      <c r="BJ82" s="298">
        <f t="shared" si="48"/>
        <v>-236262024.94742605</v>
      </c>
      <c r="BK82" s="298">
        <f t="shared" si="48"/>
        <v>-236262024.94742605</v>
      </c>
      <c r="BL82" s="298">
        <f t="shared" si="48"/>
        <v>-236262024.94742605</v>
      </c>
      <c r="BM82" s="298">
        <f t="shared" si="48"/>
        <v>-236262024.94742605</v>
      </c>
      <c r="BN82" s="298">
        <f t="shared" si="48"/>
        <v>-236262024.94742605</v>
      </c>
      <c r="BO82" s="298">
        <f t="shared" si="48"/>
        <v>-236262024.94742605</v>
      </c>
      <c r="BP82" s="298">
        <f t="shared" si="48"/>
        <v>-236262024.94742605</v>
      </c>
      <c r="BQ82" s="298">
        <f t="shared" si="48"/>
        <v>-236262024.94742605</v>
      </c>
      <c r="BR82" s="298">
        <f t="shared" si="48"/>
        <v>-236262024.94742605</v>
      </c>
      <c r="BS82" s="298">
        <f t="shared" si="48"/>
        <v>-236262024.94742605</v>
      </c>
      <c r="BT82" s="298">
        <f t="shared" si="48"/>
        <v>-236262024.94742605</v>
      </c>
      <c r="BU82" s="298">
        <f t="shared" si="48"/>
        <v>-236262024.94742605</v>
      </c>
      <c r="BV82" s="298">
        <f t="shared" si="48"/>
        <v>-236262024.94742605</v>
      </c>
      <c r="BW82" s="298">
        <f t="shared" si="48"/>
        <v>-236262024.94742605</v>
      </c>
      <c r="BX82" s="298">
        <f t="shared" si="48"/>
        <v>-236262024.94742605</v>
      </c>
      <c r="BY82" s="538">
        <f>BY73+BY81</f>
        <v>-236262024.94742602</v>
      </c>
      <c r="BZ82" s="570"/>
      <c r="CA82" s="229"/>
      <c r="CB82" s="229"/>
      <c r="CC82" s="229"/>
      <c r="CD82" s="229"/>
      <c r="CE82" s="229"/>
    </row>
    <row r="83" spans="2:83" ht="15.95">
      <c r="B83" s="541" t="s">
        <v>257</v>
      </c>
      <c r="C83" s="563"/>
      <c r="D83" s="299"/>
      <c r="E83" s="300">
        <f t="shared" ref="E83:BX83" si="49">E17+E81</f>
        <v>0</v>
      </c>
      <c r="F83" s="300">
        <f t="shared" si="49"/>
        <v>0</v>
      </c>
      <c r="G83" s="300">
        <f t="shared" si="49"/>
        <v>0</v>
      </c>
      <c r="H83" s="300">
        <f t="shared" si="49"/>
        <v>0</v>
      </c>
      <c r="I83" s="300">
        <f t="shared" si="49"/>
        <v>0</v>
      </c>
      <c r="J83" s="300">
        <f t="shared" si="49"/>
        <v>0</v>
      </c>
      <c r="K83" s="300">
        <f t="shared" si="49"/>
        <v>-600</v>
      </c>
      <c r="L83" s="300">
        <f t="shared" si="49"/>
        <v>378.90000000037253</v>
      </c>
      <c r="M83" s="301">
        <f t="shared" si="49"/>
        <v>392.55999999999995</v>
      </c>
      <c r="N83" s="300">
        <f t="shared" si="49"/>
        <v>65343</v>
      </c>
      <c r="O83" s="301">
        <f t="shared" si="49"/>
        <v>-370</v>
      </c>
      <c r="P83" s="301">
        <f t="shared" si="49"/>
        <v>3956209</v>
      </c>
      <c r="Q83" s="301">
        <f t="shared" si="49"/>
        <v>-2468128</v>
      </c>
      <c r="R83" s="301">
        <f t="shared" si="49"/>
        <v>-268627.7279</v>
      </c>
      <c r="S83" s="301">
        <f t="shared" si="49"/>
        <v>-1057800.4379</v>
      </c>
      <c r="T83" s="301">
        <f t="shared" si="49"/>
        <v>53379.338119834661</v>
      </c>
      <c r="U83" s="300">
        <f t="shared" si="49"/>
        <v>2044144.5679545477</v>
      </c>
      <c r="V83" s="300">
        <f t="shared" si="49"/>
        <v>-2127254.1150619835</v>
      </c>
      <c r="W83" s="300">
        <f t="shared" si="49"/>
        <v>-1239246.6325619835</v>
      </c>
      <c r="X83" s="301">
        <f t="shared" si="49"/>
        <v>-5352.4000619836152</v>
      </c>
      <c r="Y83" s="301">
        <f t="shared" si="49"/>
        <v>-617166.53256198356</v>
      </c>
      <c r="Z83" s="301">
        <f t="shared" si="49"/>
        <v>-5376444.3303397615</v>
      </c>
      <c r="AA83" s="301">
        <f t="shared" si="49"/>
        <v>-6876444.3303397615</v>
      </c>
      <c r="AB83" s="301">
        <f t="shared" si="49"/>
        <v>-6489319.3303397615</v>
      </c>
      <c r="AC83" s="300">
        <f t="shared" si="49"/>
        <v>-5762277.253239762</v>
      </c>
      <c r="AD83" s="301">
        <f t="shared" si="49"/>
        <v>-7012277.253239762</v>
      </c>
      <c r="AE83" s="301">
        <f t="shared" si="49"/>
        <v>-7008292.8203397617</v>
      </c>
      <c r="AF83" s="301">
        <f t="shared" si="49"/>
        <v>-7008292.8203397617</v>
      </c>
      <c r="AG83" s="301">
        <f t="shared" si="49"/>
        <v>1731500.3796602394</v>
      </c>
      <c r="AH83" s="301">
        <f t="shared" si="49"/>
        <v>1952437.2470602402</v>
      </c>
      <c r="AI83" s="301">
        <f t="shared" si="49"/>
        <v>9256877.7080652788</v>
      </c>
      <c r="AJ83" s="301">
        <f t="shared" si="49"/>
        <v>8870323.8174380157</v>
      </c>
      <c r="AK83" s="301">
        <f t="shared" si="49"/>
        <v>8870323.8174380176</v>
      </c>
      <c r="AL83" s="301">
        <f t="shared" si="49"/>
        <v>8870323.8174380176</v>
      </c>
      <c r="AM83" s="301">
        <f t="shared" si="49"/>
        <v>8870323.8174380157</v>
      </c>
      <c r="AN83" s="301">
        <f t="shared" si="49"/>
        <v>9025699.017438015</v>
      </c>
      <c r="AO83" s="300">
        <f t="shared" si="49"/>
        <v>10113287.112857118</v>
      </c>
      <c r="AP83" s="301">
        <f t="shared" si="49"/>
        <v>0</v>
      </c>
      <c r="AQ83" s="301">
        <f t="shared" si="49"/>
        <v>0</v>
      </c>
      <c r="AR83" s="301">
        <f t="shared" si="49"/>
        <v>0</v>
      </c>
      <c r="AS83" s="300">
        <f t="shared" si="49"/>
        <v>0</v>
      </c>
      <c r="AT83" s="300">
        <f t="shared" si="49"/>
        <v>0</v>
      </c>
      <c r="AU83" s="300">
        <f t="shared" si="49"/>
        <v>0</v>
      </c>
      <c r="AV83" s="300">
        <f t="shared" si="49"/>
        <v>0</v>
      </c>
      <c r="AW83" s="300">
        <f t="shared" si="49"/>
        <v>0</v>
      </c>
      <c r="AX83" s="300">
        <f t="shared" si="49"/>
        <v>0</v>
      </c>
      <c r="AY83" s="300">
        <f t="shared" si="49"/>
        <v>0</v>
      </c>
      <c r="AZ83" s="300">
        <f t="shared" si="49"/>
        <v>0</v>
      </c>
      <c r="BA83" s="300">
        <f t="shared" si="49"/>
        <v>0</v>
      </c>
      <c r="BB83" s="300">
        <f t="shared" si="49"/>
        <v>0</v>
      </c>
      <c r="BC83" s="300">
        <f t="shared" si="49"/>
        <v>0</v>
      </c>
      <c r="BD83" s="300">
        <f t="shared" si="49"/>
        <v>0</v>
      </c>
      <c r="BE83" s="300">
        <f t="shared" si="49"/>
        <v>0</v>
      </c>
      <c r="BF83" s="300">
        <f t="shared" si="49"/>
        <v>0</v>
      </c>
      <c r="BG83" s="300">
        <f t="shared" si="49"/>
        <v>0</v>
      </c>
      <c r="BH83" s="300">
        <f t="shared" si="49"/>
        <v>0</v>
      </c>
      <c r="BI83" s="300">
        <f t="shared" si="49"/>
        <v>0</v>
      </c>
      <c r="BJ83" s="300">
        <f t="shared" si="49"/>
        <v>0</v>
      </c>
      <c r="BK83" s="300">
        <f t="shared" si="49"/>
        <v>0</v>
      </c>
      <c r="BL83" s="302">
        <f t="shared" si="49"/>
        <v>0</v>
      </c>
      <c r="BM83" s="302">
        <f t="shared" si="49"/>
        <v>0</v>
      </c>
      <c r="BN83" s="302">
        <f t="shared" si="49"/>
        <v>0</v>
      </c>
      <c r="BO83" s="302">
        <f t="shared" si="49"/>
        <v>0</v>
      </c>
      <c r="BP83" s="302">
        <f t="shared" si="49"/>
        <v>0</v>
      </c>
      <c r="BQ83" s="302">
        <f t="shared" si="49"/>
        <v>0</v>
      </c>
      <c r="BR83" s="302">
        <f t="shared" si="49"/>
        <v>0</v>
      </c>
      <c r="BS83" s="302">
        <f t="shared" si="49"/>
        <v>0</v>
      </c>
      <c r="BT83" s="302">
        <f t="shared" si="49"/>
        <v>0</v>
      </c>
      <c r="BU83" s="302">
        <f t="shared" si="49"/>
        <v>0</v>
      </c>
      <c r="BV83" s="302">
        <f t="shared" si="49"/>
        <v>0</v>
      </c>
      <c r="BW83" s="302">
        <f t="shared" si="49"/>
        <v>0</v>
      </c>
      <c r="BX83" s="302">
        <f t="shared" si="49"/>
        <v>0</v>
      </c>
      <c r="BY83" s="539">
        <f>BY17+BY73+BY81</f>
        <v>20363050.116681069</v>
      </c>
      <c r="BZ83" s="572"/>
      <c r="CA83" s="229"/>
      <c r="CB83" s="229"/>
      <c r="CC83" s="229"/>
      <c r="CD83" s="229"/>
      <c r="CE83" s="229"/>
    </row>
    <row r="84" spans="2:83">
      <c r="B84" s="542" t="s">
        <v>258</v>
      </c>
      <c r="C84" s="563"/>
      <c r="D84" s="303"/>
      <c r="E84" s="304">
        <f>E83</f>
        <v>0</v>
      </c>
      <c r="F84" s="304">
        <f t="shared" ref="F84:BX84" si="50">F83+E84</f>
        <v>0</v>
      </c>
      <c r="G84" s="304">
        <f t="shared" si="50"/>
        <v>0</v>
      </c>
      <c r="H84" s="304">
        <f t="shared" si="50"/>
        <v>0</v>
      </c>
      <c r="I84" s="304">
        <f t="shared" si="50"/>
        <v>0</v>
      </c>
      <c r="J84" s="304">
        <f t="shared" si="50"/>
        <v>0</v>
      </c>
      <c r="K84" s="304">
        <f t="shared" si="50"/>
        <v>-600</v>
      </c>
      <c r="L84" s="304">
        <f t="shared" si="50"/>
        <v>-221.09999999962747</v>
      </c>
      <c r="M84" s="304">
        <f t="shared" si="50"/>
        <v>171.46000000037247</v>
      </c>
      <c r="N84" s="304">
        <f t="shared" si="50"/>
        <v>65514.46000000037</v>
      </c>
      <c r="O84" s="304">
        <f t="shared" si="50"/>
        <v>65144.46000000037</v>
      </c>
      <c r="P84" s="304">
        <f t="shared" si="50"/>
        <v>4021353.4600000004</v>
      </c>
      <c r="Q84" s="304">
        <f t="shared" si="50"/>
        <v>1553225.4600000004</v>
      </c>
      <c r="R84" s="304">
        <f t="shared" si="50"/>
        <v>1284597.7321000004</v>
      </c>
      <c r="S84" s="304">
        <f t="shared" si="50"/>
        <v>226797.29420000035</v>
      </c>
      <c r="T84" s="304">
        <f t="shared" si="50"/>
        <v>280176.63231983501</v>
      </c>
      <c r="U84" s="304">
        <f t="shared" si="50"/>
        <v>2324321.2002743827</v>
      </c>
      <c r="V84" s="304">
        <f t="shared" si="50"/>
        <v>197067.08521239925</v>
      </c>
      <c r="W84" s="304">
        <f t="shared" si="50"/>
        <v>-1042179.5473495843</v>
      </c>
      <c r="X84" s="304">
        <f t="shared" si="50"/>
        <v>-1047531.9474115679</v>
      </c>
      <c r="Y84" s="304">
        <f t="shared" si="50"/>
        <v>-1664698.4799735514</v>
      </c>
      <c r="Z84" s="304">
        <f t="shared" si="50"/>
        <v>-7041142.8103133123</v>
      </c>
      <c r="AA84" s="304">
        <f t="shared" si="50"/>
        <v>-13917587.140653074</v>
      </c>
      <c r="AB84" s="304">
        <f t="shared" si="50"/>
        <v>-20406906.470992833</v>
      </c>
      <c r="AC84" s="304">
        <f t="shared" si="50"/>
        <v>-26169183.724232595</v>
      </c>
      <c r="AD84" s="304">
        <f t="shared" si="50"/>
        <v>-33181460.977472357</v>
      </c>
      <c r="AE84" s="304">
        <f t="shared" si="50"/>
        <v>-40189753.797812119</v>
      </c>
      <c r="AF84" s="304">
        <f t="shared" si="50"/>
        <v>-47198046.618151881</v>
      </c>
      <c r="AG84" s="304">
        <f t="shared" si="50"/>
        <v>-45466546.238491639</v>
      </c>
      <c r="AH84" s="304">
        <f t="shared" si="50"/>
        <v>-43514108.9914314</v>
      </c>
      <c r="AI84" s="304">
        <f t="shared" si="50"/>
        <v>-34257231.283366121</v>
      </c>
      <c r="AJ84" s="304">
        <f t="shared" si="50"/>
        <v>-25386907.465928108</v>
      </c>
      <c r="AK84" s="304">
        <f t="shared" si="50"/>
        <v>-16516583.64849009</v>
      </c>
      <c r="AL84" s="304">
        <f t="shared" si="50"/>
        <v>-7646259.8310520723</v>
      </c>
      <c r="AM84" s="304">
        <f t="shared" si="50"/>
        <v>1224063.9863859434</v>
      </c>
      <c r="AN84" s="304">
        <f t="shared" si="50"/>
        <v>10249763.003823958</v>
      </c>
      <c r="AO84" s="304">
        <f t="shared" si="50"/>
        <v>20363050.116681077</v>
      </c>
      <c r="AP84" s="304">
        <f t="shared" si="50"/>
        <v>20363050.116681077</v>
      </c>
      <c r="AQ84" s="304">
        <f t="shared" si="50"/>
        <v>20363050.116681077</v>
      </c>
      <c r="AR84" s="304">
        <f t="shared" si="50"/>
        <v>20363050.116681077</v>
      </c>
      <c r="AS84" s="304">
        <f t="shared" si="50"/>
        <v>20363050.116681077</v>
      </c>
      <c r="AT84" s="304">
        <f t="shared" si="50"/>
        <v>20363050.116681077</v>
      </c>
      <c r="AU84" s="304">
        <f t="shared" si="50"/>
        <v>20363050.116681077</v>
      </c>
      <c r="AV84" s="304">
        <f t="shared" si="50"/>
        <v>20363050.116681077</v>
      </c>
      <c r="AW84" s="304">
        <f t="shared" si="50"/>
        <v>20363050.116681077</v>
      </c>
      <c r="AX84" s="304">
        <f t="shared" si="50"/>
        <v>20363050.116681077</v>
      </c>
      <c r="AY84" s="304">
        <f t="shared" si="50"/>
        <v>20363050.116681077</v>
      </c>
      <c r="AZ84" s="304">
        <f t="shared" si="50"/>
        <v>20363050.116681077</v>
      </c>
      <c r="BA84" s="304">
        <f t="shared" si="50"/>
        <v>20363050.116681077</v>
      </c>
      <c r="BB84" s="304">
        <f t="shared" si="50"/>
        <v>20363050.116681077</v>
      </c>
      <c r="BC84" s="304">
        <f t="shared" si="50"/>
        <v>20363050.116681077</v>
      </c>
      <c r="BD84" s="304">
        <f t="shared" si="50"/>
        <v>20363050.116681077</v>
      </c>
      <c r="BE84" s="304">
        <f t="shared" si="50"/>
        <v>20363050.116681077</v>
      </c>
      <c r="BF84" s="304">
        <f t="shared" si="50"/>
        <v>20363050.116681077</v>
      </c>
      <c r="BG84" s="304">
        <f t="shared" si="50"/>
        <v>20363050.116681077</v>
      </c>
      <c r="BH84" s="304">
        <f t="shared" si="50"/>
        <v>20363050.116681077</v>
      </c>
      <c r="BI84" s="304">
        <f t="shared" si="50"/>
        <v>20363050.116681077</v>
      </c>
      <c r="BJ84" s="304">
        <f t="shared" si="50"/>
        <v>20363050.116681077</v>
      </c>
      <c r="BK84" s="304">
        <f t="shared" si="50"/>
        <v>20363050.116681077</v>
      </c>
      <c r="BL84" s="304">
        <f t="shared" si="50"/>
        <v>20363050.116681077</v>
      </c>
      <c r="BM84" s="304">
        <f t="shared" si="50"/>
        <v>20363050.116681077</v>
      </c>
      <c r="BN84" s="304">
        <f t="shared" si="50"/>
        <v>20363050.116681077</v>
      </c>
      <c r="BO84" s="304">
        <f t="shared" si="50"/>
        <v>20363050.116681077</v>
      </c>
      <c r="BP84" s="304">
        <f t="shared" si="50"/>
        <v>20363050.116681077</v>
      </c>
      <c r="BQ84" s="304">
        <f t="shared" si="50"/>
        <v>20363050.116681077</v>
      </c>
      <c r="BR84" s="304">
        <f t="shared" si="50"/>
        <v>20363050.116681077</v>
      </c>
      <c r="BS84" s="304">
        <f t="shared" si="50"/>
        <v>20363050.116681077</v>
      </c>
      <c r="BT84" s="304">
        <f t="shared" si="50"/>
        <v>20363050.116681077</v>
      </c>
      <c r="BU84" s="304">
        <f t="shared" si="50"/>
        <v>20363050.116681077</v>
      </c>
      <c r="BV84" s="304">
        <f t="shared" si="50"/>
        <v>20363050.116681077</v>
      </c>
      <c r="BW84" s="304">
        <f t="shared" si="50"/>
        <v>20363050.116681077</v>
      </c>
      <c r="BX84" s="304">
        <f t="shared" si="50"/>
        <v>20363050.116681077</v>
      </c>
      <c r="BY84" s="229"/>
      <c r="BZ84" s="229"/>
      <c r="CA84" s="229"/>
      <c r="CB84" s="229"/>
      <c r="CC84" s="229"/>
      <c r="CD84" s="229"/>
      <c r="CE84" s="229"/>
    </row>
    <row r="85" spans="2:83">
      <c r="B85" s="229"/>
      <c r="C85" s="229"/>
      <c r="D85" s="229"/>
      <c r="E85" s="229"/>
      <c r="F85" s="229"/>
      <c r="G85" s="229"/>
      <c r="H85" s="229"/>
      <c r="I85" s="229"/>
      <c r="J85" s="229"/>
      <c r="K85" s="229"/>
      <c r="L85" s="229"/>
      <c r="M85" s="229"/>
      <c r="N85" s="229">
        <f>N82+N14+N15</f>
        <v>-5227309.54</v>
      </c>
      <c r="O85" s="229"/>
      <c r="P85" s="229"/>
      <c r="Q85" s="229"/>
      <c r="R85" s="229"/>
      <c r="S85" s="229"/>
      <c r="T85" s="229"/>
      <c r="U85" s="229"/>
      <c r="V85" s="229"/>
      <c r="W85" s="229"/>
      <c r="X85" s="229"/>
      <c r="Y85" s="229"/>
      <c r="Z85" s="229"/>
      <c r="AA85" s="229"/>
      <c r="AB85" s="229"/>
      <c r="AC85" s="229"/>
      <c r="AD85" s="229"/>
      <c r="AE85" s="229"/>
      <c r="AF85" s="229"/>
      <c r="AG85" s="229"/>
      <c r="AH85" s="229"/>
      <c r="AI85" s="229"/>
      <c r="AJ85" s="229"/>
      <c r="AK85" s="229"/>
      <c r="AL85" s="229"/>
      <c r="AM85" s="229"/>
      <c r="AN85" s="229"/>
      <c r="AO85" s="229"/>
      <c r="AP85" s="229"/>
      <c r="AQ85" s="229"/>
      <c r="AR85" s="229"/>
      <c r="AS85" s="229"/>
      <c r="AT85" s="229"/>
      <c r="AU85" s="229"/>
      <c r="AV85" s="229"/>
      <c r="AW85" s="229"/>
      <c r="AX85" s="229"/>
      <c r="AY85" s="229"/>
      <c r="AZ85" s="229"/>
      <c r="BA85" s="229"/>
      <c r="BB85" s="229"/>
      <c r="BC85" s="229"/>
      <c r="BD85" s="229"/>
      <c r="BE85" s="229"/>
      <c r="BF85" s="229"/>
      <c r="BG85" s="229"/>
      <c r="BH85" s="229"/>
      <c r="BI85" s="229"/>
      <c r="BJ85" s="229"/>
      <c r="BK85" s="229"/>
      <c r="BL85" s="229"/>
      <c r="BM85" s="229"/>
      <c r="BN85" s="229"/>
      <c r="BO85" s="229"/>
      <c r="BP85" s="229"/>
      <c r="BQ85" s="229"/>
      <c r="BR85" s="229"/>
      <c r="BS85" s="229"/>
      <c r="BT85" s="229"/>
      <c r="BU85" s="229"/>
      <c r="BV85" s="229"/>
      <c r="BW85" s="229"/>
      <c r="BX85" s="229"/>
      <c r="BY85" s="305">
        <f>AI84-AI55-AI56-SUM(AG12:AI12)-SUM(AG63:AI63)</f>
        <v>-34257231.283366121</v>
      </c>
      <c r="BZ85" s="229"/>
      <c r="CA85" s="229"/>
      <c r="CB85" s="229"/>
      <c r="CC85" s="229"/>
      <c r="CD85" s="229"/>
      <c r="CE85" s="229"/>
    </row>
    <row r="86" spans="2:83">
      <c r="B86" s="229"/>
      <c r="C86" s="229"/>
      <c r="D86" s="229"/>
      <c r="E86" s="229"/>
      <c r="F86" s="229"/>
      <c r="G86" s="22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29"/>
      <c r="AA86" s="229"/>
      <c r="AB86" s="229"/>
      <c r="AC86" s="229"/>
      <c r="AD86" s="229"/>
      <c r="AE86" s="229"/>
      <c r="AF86" s="229"/>
      <c r="AG86" s="229"/>
      <c r="AH86" s="229"/>
      <c r="AI86" s="229"/>
      <c r="AJ86" s="229"/>
      <c r="AK86" s="229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29"/>
      <c r="BH86" s="229"/>
      <c r="BI86" s="229"/>
      <c r="BJ86" s="229"/>
      <c r="BK86" s="229"/>
      <c r="BL86" s="229"/>
      <c r="BM86" s="229"/>
      <c r="BN86" s="229"/>
      <c r="BO86" s="229"/>
      <c r="BP86" s="229"/>
      <c r="BQ86" s="229"/>
      <c r="BR86" s="229"/>
      <c r="BS86" s="229"/>
      <c r="BT86" s="229"/>
      <c r="BU86" s="229"/>
      <c r="BV86" s="229"/>
      <c r="BW86" s="229"/>
      <c r="BX86" s="229"/>
      <c r="BY86" s="305"/>
      <c r="BZ86" s="229">
        <f>AI84-SUM(AG12:AI12)-SUM(AI55:AI56)-SUM(AG63:AI63)</f>
        <v>-34257231.283366121</v>
      </c>
      <c r="CA86" s="229"/>
      <c r="CB86" s="229"/>
      <c r="CC86" s="229"/>
      <c r="CD86" s="229"/>
      <c r="CE86" s="229"/>
    </row>
    <row r="87" spans="2:83" hidden="1">
      <c r="B87" s="229"/>
      <c r="C87" s="229"/>
      <c r="D87" s="306" t="s">
        <v>259</v>
      </c>
      <c r="E87" s="306"/>
      <c r="F87" s="306"/>
      <c r="G87" s="306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7"/>
      <c r="W87" s="307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  <c r="AK87" s="307"/>
      <c r="AL87" s="307"/>
      <c r="AM87" s="307"/>
      <c r="AN87" s="307"/>
      <c r="AO87" s="307"/>
      <c r="AP87" s="307"/>
      <c r="AQ87" s="307"/>
      <c r="AR87" s="307"/>
      <c r="AS87" s="307"/>
      <c r="AT87" s="307"/>
      <c r="AU87" s="307"/>
      <c r="AV87" s="307"/>
      <c r="AW87" s="307"/>
      <c r="AX87" s="307"/>
      <c r="AY87" s="307"/>
      <c r="AZ87" s="307"/>
      <c r="BA87" s="307"/>
      <c r="BB87" s="307"/>
      <c r="BC87" s="307"/>
      <c r="BD87" s="307"/>
      <c r="BE87" s="307"/>
      <c r="BF87" s="307"/>
      <c r="BG87" s="307"/>
      <c r="BH87" s="307"/>
      <c r="BI87" s="307"/>
      <c r="BJ87" s="307"/>
      <c r="BK87" s="307"/>
      <c r="BL87" s="307"/>
      <c r="BM87" s="307"/>
      <c r="BN87" s="307"/>
      <c r="BO87" s="307"/>
      <c r="BP87" s="307"/>
      <c r="BQ87" s="307"/>
      <c r="BR87" s="307"/>
      <c r="BS87" s="307"/>
      <c r="BT87" s="307"/>
      <c r="BU87" s="307"/>
      <c r="BV87" s="307"/>
      <c r="BW87" s="307"/>
      <c r="BX87" s="307"/>
      <c r="BY87" s="305"/>
      <c r="BZ87" s="229"/>
      <c r="CA87" s="229"/>
      <c r="CB87" s="229"/>
      <c r="CC87" s="229"/>
      <c r="CD87" s="229"/>
      <c r="CE87" s="229"/>
    </row>
    <row r="88" spans="2:83" hidden="1">
      <c r="B88" s="229"/>
      <c r="C88" s="229"/>
      <c r="D88" s="229"/>
      <c r="E88" s="229"/>
      <c r="F88" s="229"/>
      <c r="G88" s="229"/>
      <c r="H88" s="229"/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  <c r="U88" s="229"/>
      <c r="V88" s="229"/>
      <c r="W88" s="229"/>
      <c r="X88" s="229"/>
      <c r="Y88" s="229"/>
      <c r="Z88" s="229"/>
      <c r="AA88" s="229"/>
      <c r="AB88" s="229"/>
      <c r="AC88" s="229"/>
      <c r="AD88" s="229"/>
      <c r="AE88" s="229"/>
      <c r="AF88" s="229"/>
      <c r="AG88" s="229"/>
      <c r="AH88" s="229"/>
      <c r="AI88" s="229"/>
      <c r="AJ88" s="229"/>
      <c r="AK88" s="229"/>
      <c r="AL88" s="229"/>
      <c r="AM88" s="229"/>
      <c r="AN88" s="229"/>
      <c r="AO88" s="229"/>
      <c r="AP88" s="229"/>
      <c r="AQ88" s="229"/>
      <c r="AR88" s="229"/>
      <c r="AS88" s="229"/>
      <c r="AT88" s="229"/>
      <c r="AU88" s="229"/>
      <c r="AV88" s="229"/>
      <c r="AW88" s="229"/>
      <c r="AX88" s="229"/>
      <c r="AY88" s="229"/>
      <c r="AZ88" s="229"/>
      <c r="BA88" s="229"/>
      <c r="BB88" s="229"/>
      <c r="BC88" s="229"/>
      <c r="BD88" s="229"/>
      <c r="BE88" s="229"/>
      <c r="BF88" s="229"/>
      <c r="BG88" s="229"/>
      <c r="BH88" s="229"/>
      <c r="BI88" s="229"/>
      <c r="BJ88" s="229"/>
      <c r="BK88" s="229"/>
      <c r="BL88" s="229"/>
      <c r="BM88" s="229"/>
      <c r="BN88" s="229"/>
      <c r="BO88" s="229"/>
      <c r="BP88" s="229"/>
      <c r="BQ88" s="229"/>
      <c r="BR88" s="229"/>
      <c r="BS88" s="229"/>
      <c r="BT88" s="229"/>
      <c r="BU88" s="229"/>
      <c r="BV88" s="229"/>
      <c r="BW88" s="229"/>
      <c r="BX88" s="229"/>
      <c r="BY88" s="305"/>
      <c r="BZ88" s="229"/>
      <c r="CA88" s="229"/>
      <c r="CB88" s="229"/>
      <c r="CC88" s="229"/>
      <c r="CD88" s="229"/>
      <c r="CE88" s="229"/>
    </row>
    <row r="89" spans="2:83" hidden="1">
      <c r="B89" s="229"/>
      <c r="C89" s="308" t="s">
        <v>260</v>
      </c>
      <c r="D89" s="309"/>
      <c r="E89" s="310">
        <f>E97+E113+E135+E152</f>
        <v>0</v>
      </c>
      <c r="F89" s="310">
        <f t="shared" ref="F89:H89" si="51">F97+F152</f>
        <v>0</v>
      </c>
      <c r="G89" s="310">
        <f t="shared" si="51"/>
        <v>0</v>
      </c>
      <c r="H89" s="310">
        <f t="shared" si="51"/>
        <v>0</v>
      </c>
      <c r="I89" s="310">
        <f t="shared" ref="I89:AI89" si="52">I97+I113</f>
        <v>-87324</v>
      </c>
      <c r="J89" s="310">
        <f t="shared" si="52"/>
        <v>-100000</v>
      </c>
      <c r="K89" s="310">
        <f t="shared" si="52"/>
        <v>3400000</v>
      </c>
      <c r="L89" s="310">
        <f t="shared" si="52"/>
        <v>-5024500</v>
      </c>
      <c r="M89" s="310">
        <f t="shared" si="52"/>
        <v>-1000</v>
      </c>
      <c r="N89" s="310">
        <f t="shared" si="52"/>
        <v>-80000</v>
      </c>
      <c r="O89" s="310">
        <f t="shared" si="52"/>
        <v>-31000</v>
      </c>
      <c r="P89" s="310">
        <f t="shared" si="52"/>
        <v>-3994008</v>
      </c>
      <c r="Q89" s="310">
        <f t="shared" si="52"/>
        <v>1918824</v>
      </c>
      <c r="R89" s="310">
        <f t="shared" si="52"/>
        <v>0</v>
      </c>
      <c r="S89" s="310">
        <f t="shared" si="52"/>
        <v>0</v>
      </c>
      <c r="T89" s="310">
        <f t="shared" si="52"/>
        <v>-560000</v>
      </c>
      <c r="U89" s="310">
        <f t="shared" si="52"/>
        <v>-3100000</v>
      </c>
      <c r="V89" s="310">
        <f t="shared" si="52"/>
        <v>0</v>
      </c>
      <c r="W89" s="310">
        <f t="shared" si="52"/>
        <v>0</v>
      </c>
      <c r="X89" s="310">
        <f t="shared" si="52"/>
        <v>-500000</v>
      </c>
      <c r="Y89" s="310">
        <f t="shared" si="52"/>
        <v>0</v>
      </c>
      <c r="Z89" s="310">
        <f t="shared" si="52"/>
        <v>-1500000</v>
      </c>
      <c r="AA89" s="310">
        <f t="shared" si="52"/>
        <v>0</v>
      </c>
      <c r="AB89" s="310">
        <f t="shared" si="52"/>
        <v>-500000</v>
      </c>
      <c r="AC89" s="310">
        <f t="shared" si="52"/>
        <v>-1250000</v>
      </c>
      <c r="AD89" s="310">
        <f t="shared" si="52"/>
        <v>0</v>
      </c>
      <c r="AE89" s="310">
        <f t="shared" si="52"/>
        <v>0</v>
      </c>
      <c r="AF89" s="310">
        <f t="shared" si="52"/>
        <v>0</v>
      </c>
      <c r="AG89" s="310">
        <f t="shared" si="52"/>
        <v>-8850000</v>
      </c>
      <c r="AH89" s="310">
        <f t="shared" si="52"/>
        <v>-9250000</v>
      </c>
      <c r="AI89" s="310">
        <f t="shared" si="52"/>
        <v>-3850000</v>
      </c>
      <c r="AJ89" s="310">
        <f t="shared" ref="AJ89:BW89" si="53">AJ97+AJ152</f>
        <v>0</v>
      </c>
      <c r="AK89" s="310">
        <f t="shared" si="53"/>
        <v>0</v>
      </c>
      <c r="AL89" s="310">
        <f t="shared" si="53"/>
        <v>0</v>
      </c>
      <c r="AM89" s="310">
        <f t="shared" si="53"/>
        <v>0</v>
      </c>
      <c r="AN89" s="310">
        <f t="shared" si="53"/>
        <v>0</v>
      </c>
      <c r="AO89" s="310">
        <f t="shared" si="53"/>
        <v>6761306</v>
      </c>
      <c r="AP89" s="310">
        <f t="shared" si="53"/>
        <v>0</v>
      </c>
      <c r="AQ89" s="310">
        <f t="shared" si="53"/>
        <v>0</v>
      </c>
      <c r="AR89" s="310">
        <f t="shared" si="53"/>
        <v>0</v>
      </c>
      <c r="AS89" s="310">
        <f t="shared" si="53"/>
        <v>0</v>
      </c>
      <c r="AT89" s="310">
        <f t="shared" si="53"/>
        <v>0</v>
      </c>
      <c r="AU89" s="310">
        <f t="shared" si="53"/>
        <v>0</v>
      </c>
      <c r="AV89" s="310">
        <f t="shared" si="53"/>
        <v>0</v>
      </c>
      <c r="AW89" s="310">
        <f t="shared" si="53"/>
        <v>0</v>
      </c>
      <c r="AX89" s="310">
        <f t="shared" si="53"/>
        <v>0</v>
      </c>
      <c r="AY89" s="310">
        <f t="shared" si="53"/>
        <v>0</v>
      </c>
      <c r="AZ89" s="310">
        <f t="shared" si="53"/>
        <v>0</v>
      </c>
      <c r="BA89" s="310">
        <f t="shared" si="53"/>
        <v>0</v>
      </c>
      <c r="BB89" s="310">
        <f t="shared" si="53"/>
        <v>0</v>
      </c>
      <c r="BC89" s="310">
        <f t="shared" si="53"/>
        <v>0</v>
      </c>
      <c r="BD89" s="310">
        <f t="shared" si="53"/>
        <v>0</v>
      </c>
      <c r="BE89" s="310">
        <f t="shared" si="53"/>
        <v>0</v>
      </c>
      <c r="BF89" s="310">
        <f t="shared" si="53"/>
        <v>0</v>
      </c>
      <c r="BG89" s="310">
        <f t="shared" si="53"/>
        <v>0</v>
      </c>
      <c r="BH89" s="310">
        <f t="shared" si="53"/>
        <v>0</v>
      </c>
      <c r="BI89" s="310">
        <f t="shared" si="53"/>
        <v>0</v>
      </c>
      <c r="BJ89" s="310">
        <f t="shared" si="53"/>
        <v>0</v>
      </c>
      <c r="BK89" s="310">
        <f t="shared" si="53"/>
        <v>0</v>
      </c>
      <c r="BL89" s="310">
        <f t="shared" si="53"/>
        <v>0</v>
      </c>
      <c r="BM89" s="310">
        <f t="shared" si="53"/>
        <v>0</v>
      </c>
      <c r="BN89" s="310">
        <f t="shared" si="53"/>
        <v>0</v>
      </c>
      <c r="BO89" s="310">
        <f t="shared" si="53"/>
        <v>0</v>
      </c>
      <c r="BP89" s="310">
        <f t="shared" si="53"/>
        <v>0</v>
      </c>
      <c r="BQ89" s="310">
        <f t="shared" si="53"/>
        <v>0</v>
      </c>
      <c r="BR89" s="310">
        <f t="shared" si="53"/>
        <v>0</v>
      </c>
      <c r="BS89" s="310">
        <f t="shared" si="53"/>
        <v>0</v>
      </c>
      <c r="BT89" s="310">
        <f t="shared" si="53"/>
        <v>0</v>
      </c>
      <c r="BU89" s="310">
        <f t="shared" si="53"/>
        <v>0</v>
      </c>
      <c r="BV89" s="310">
        <f t="shared" si="53"/>
        <v>0</v>
      </c>
      <c r="BW89" s="310">
        <f t="shared" si="53"/>
        <v>0</v>
      </c>
      <c r="BX89" s="310">
        <f>BX97+BX152+BX84</f>
        <v>20363050.116681077</v>
      </c>
      <c r="BY89" s="305"/>
      <c r="BZ89" s="229"/>
      <c r="CA89" s="229"/>
      <c r="CB89" s="229"/>
      <c r="CC89" s="229"/>
      <c r="CD89" s="229"/>
      <c r="CE89" s="229"/>
    </row>
    <row r="90" spans="2:83" hidden="1">
      <c r="B90" s="229"/>
      <c r="C90" s="311" t="s">
        <v>261</v>
      </c>
      <c r="D90" s="543">
        <f>IRR(I89:BX89)*12</f>
        <v>9.8892096903363935</v>
      </c>
      <c r="E90" s="568"/>
      <c r="F90" s="229"/>
      <c r="G90" s="229"/>
      <c r="H90" s="229"/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  <c r="U90" s="229"/>
      <c r="V90" s="229"/>
      <c r="W90" s="229"/>
      <c r="X90" s="229"/>
      <c r="Y90" s="229"/>
      <c r="Z90" s="229"/>
      <c r="AA90" s="229"/>
      <c r="AB90" s="229"/>
      <c r="AC90" s="229"/>
      <c r="AD90" s="229"/>
      <c r="AE90" s="229"/>
      <c r="AF90" s="229"/>
      <c r="AG90" s="229"/>
      <c r="AH90" s="229"/>
      <c r="AI90" s="229"/>
      <c r="AJ90" s="229"/>
      <c r="AK90" s="229"/>
      <c r="AL90" s="229"/>
      <c r="AM90" s="229"/>
      <c r="AN90" s="229"/>
      <c r="AO90" s="229"/>
      <c r="AP90" s="229"/>
      <c r="AQ90" s="229"/>
      <c r="AR90" s="229"/>
      <c r="AS90" s="229"/>
      <c r="AT90" s="229"/>
      <c r="AU90" s="229"/>
      <c r="AV90" s="229"/>
      <c r="AW90" s="229"/>
      <c r="AX90" s="229"/>
      <c r="AY90" s="229"/>
      <c r="AZ90" s="229"/>
      <c r="BA90" s="229"/>
      <c r="BB90" s="229"/>
      <c r="BC90" s="229"/>
      <c r="BD90" s="229"/>
      <c r="BE90" s="229"/>
      <c r="BF90" s="229"/>
      <c r="BG90" s="229"/>
      <c r="BH90" s="229"/>
      <c r="BI90" s="229"/>
      <c r="BJ90" s="229"/>
      <c r="BK90" s="229"/>
      <c r="BL90" s="229"/>
      <c r="BM90" s="229"/>
      <c r="BN90" s="229"/>
      <c r="BO90" s="229"/>
      <c r="BP90" s="229"/>
      <c r="BQ90" s="229"/>
      <c r="BR90" s="229"/>
      <c r="BS90" s="229"/>
      <c r="BT90" s="229"/>
      <c r="BU90" s="229"/>
      <c r="BV90" s="229"/>
      <c r="BW90" s="229"/>
      <c r="BX90" s="229"/>
      <c r="BY90" s="305"/>
      <c r="BZ90" s="229"/>
      <c r="CA90" s="229"/>
      <c r="CB90" s="229"/>
      <c r="CC90" s="229"/>
      <c r="CD90" s="229"/>
      <c r="CE90" s="229"/>
    </row>
    <row r="91" spans="2:83" hidden="1">
      <c r="B91" s="229"/>
      <c r="C91" s="229"/>
      <c r="D91" s="229"/>
      <c r="E91" s="229"/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29"/>
      <c r="Y91" s="229"/>
      <c r="Z91" s="229"/>
      <c r="AA91" s="229"/>
      <c r="AB91" s="229"/>
      <c r="AC91" s="229"/>
      <c r="AD91" s="229"/>
      <c r="AE91" s="229"/>
      <c r="AF91" s="229"/>
      <c r="AG91" s="229"/>
      <c r="AH91" s="229"/>
      <c r="AI91" s="229"/>
      <c r="AJ91" s="229"/>
      <c r="AK91" s="229"/>
      <c r="AL91" s="229"/>
      <c r="AM91" s="229"/>
      <c r="AN91" s="229"/>
      <c r="AO91" s="229"/>
      <c r="AP91" s="229"/>
      <c r="AQ91" s="229"/>
      <c r="AR91" s="229"/>
      <c r="AS91" s="229"/>
      <c r="AT91" s="229"/>
      <c r="AU91" s="229"/>
      <c r="AV91" s="229"/>
      <c r="AW91" s="229"/>
      <c r="AX91" s="229"/>
      <c r="AY91" s="229"/>
      <c r="AZ91" s="229"/>
      <c r="BA91" s="229"/>
      <c r="BB91" s="229"/>
      <c r="BC91" s="229"/>
      <c r="BD91" s="229"/>
      <c r="BE91" s="229"/>
      <c r="BF91" s="229"/>
      <c r="BG91" s="229"/>
      <c r="BH91" s="229"/>
      <c r="BI91" s="229"/>
      <c r="BJ91" s="229"/>
      <c r="BK91" s="229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  <c r="BY91" s="305"/>
      <c r="BZ91" s="229"/>
      <c r="CA91" s="229"/>
      <c r="CB91" s="229"/>
      <c r="CC91" s="229"/>
      <c r="CD91" s="229"/>
      <c r="CE91" s="229"/>
    </row>
    <row r="92" spans="2:83" hidden="1">
      <c r="B92" s="229"/>
      <c r="C92" s="229"/>
      <c r="D92" s="229"/>
      <c r="E92" s="229"/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  <c r="AJ92" s="229"/>
      <c r="AK92" s="229"/>
      <c r="AL92" s="229"/>
      <c r="AM92" s="229"/>
      <c r="AN92" s="229"/>
      <c r="AO92" s="229"/>
      <c r="AP92" s="229"/>
      <c r="AQ92" s="229"/>
      <c r="AR92" s="229"/>
      <c r="AS92" s="229"/>
      <c r="AT92" s="229"/>
      <c r="AU92" s="229"/>
      <c r="AV92" s="229"/>
      <c r="AW92" s="229"/>
      <c r="AX92" s="229"/>
      <c r="AY92" s="229"/>
      <c r="AZ92" s="229"/>
      <c r="BA92" s="229"/>
      <c r="BB92" s="229"/>
      <c r="BC92" s="229"/>
      <c r="BD92" s="229"/>
      <c r="BE92" s="229"/>
      <c r="BF92" s="229"/>
      <c r="BG92" s="229"/>
      <c r="BH92" s="229"/>
      <c r="BI92" s="229"/>
      <c r="BJ92" s="229"/>
      <c r="BK92" s="229"/>
      <c r="BL92" s="229"/>
      <c r="BM92" s="229"/>
      <c r="BN92" s="229"/>
      <c r="BO92" s="229"/>
      <c r="BP92" s="229"/>
      <c r="BQ92" s="229"/>
      <c r="BR92" s="229"/>
      <c r="BS92" s="229"/>
      <c r="BT92" s="229"/>
      <c r="BU92" s="229"/>
      <c r="BV92" s="229"/>
      <c r="BW92" s="229"/>
      <c r="BX92" s="229"/>
      <c r="BY92" s="305"/>
      <c r="BZ92" s="229"/>
      <c r="CA92" s="229"/>
      <c r="CB92" s="229"/>
      <c r="CC92" s="229"/>
      <c r="CD92" s="229"/>
      <c r="CE92" s="229"/>
    </row>
    <row r="93" spans="2:83" ht="17.100000000000001" hidden="1">
      <c r="B93" s="229"/>
      <c r="C93" s="308" t="s">
        <v>262</v>
      </c>
      <c r="D93" s="573"/>
      <c r="E93" s="567"/>
      <c r="F93" s="567"/>
      <c r="G93" s="567"/>
      <c r="H93" s="567"/>
      <c r="I93" s="567"/>
      <c r="J93" s="567"/>
      <c r="K93" s="567"/>
      <c r="L93" s="567"/>
      <c r="M93" s="567"/>
      <c r="N93" s="567"/>
      <c r="O93" s="567"/>
      <c r="P93" s="567"/>
      <c r="Q93" s="567"/>
      <c r="R93" s="567"/>
      <c r="S93" s="567"/>
      <c r="T93" s="567"/>
      <c r="U93" s="567"/>
      <c r="V93" s="567"/>
      <c r="W93" s="567"/>
      <c r="X93" s="567"/>
      <c r="Y93" s="567"/>
      <c r="Z93" s="567"/>
      <c r="AA93" s="567"/>
      <c r="AB93" s="567"/>
      <c r="AC93" s="567"/>
      <c r="AD93" s="567"/>
      <c r="AE93" s="567"/>
      <c r="AF93" s="567"/>
      <c r="AG93" s="567"/>
      <c r="AH93" s="567"/>
      <c r="AI93" s="567"/>
      <c r="AJ93" s="567"/>
      <c r="AK93" s="567"/>
      <c r="AL93" s="567"/>
      <c r="AM93" s="567"/>
      <c r="AN93" s="567"/>
      <c r="AO93" s="567"/>
      <c r="AP93" s="567"/>
      <c r="AQ93" s="567"/>
      <c r="AR93" s="567"/>
      <c r="AS93" s="567"/>
      <c r="AT93" s="567"/>
      <c r="AU93" s="567"/>
      <c r="AV93" s="567"/>
      <c r="AW93" s="567"/>
      <c r="AX93" s="567"/>
      <c r="AY93" s="567"/>
      <c r="AZ93" s="567"/>
      <c r="BA93" s="567"/>
      <c r="BB93" s="567"/>
      <c r="BC93" s="567"/>
      <c r="BD93" s="567"/>
      <c r="BE93" s="567"/>
      <c r="BF93" s="567"/>
      <c r="BG93" s="567"/>
      <c r="BH93" s="567"/>
      <c r="BI93" s="567"/>
      <c r="BJ93" s="567"/>
      <c r="BK93" s="567"/>
      <c r="BL93" s="567"/>
      <c r="BM93" s="567"/>
      <c r="BN93" s="567"/>
      <c r="BO93" s="567"/>
      <c r="BP93" s="567"/>
      <c r="BQ93" s="567"/>
      <c r="BR93" s="567"/>
      <c r="BS93" s="567"/>
      <c r="BT93" s="567"/>
      <c r="BU93" s="567"/>
      <c r="BV93" s="567"/>
      <c r="BW93" s="568"/>
      <c r="BX93" s="313">
        <f>BX84*C94</f>
        <v>4072610.0233362154</v>
      </c>
      <c r="BY93" s="305"/>
      <c r="BZ93" s="229"/>
      <c r="CA93" s="229"/>
      <c r="CB93" s="229"/>
      <c r="CC93" s="229"/>
      <c r="CD93" s="229"/>
      <c r="CE93" s="229"/>
    </row>
    <row r="94" spans="2:83" ht="18.95" hidden="1">
      <c r="B94" s="229"/>
      <c r="C94" s="314">
        <v>0.2</v>
      </c>
      <c r="D94" s="229"/>
      <c r="E94" s="229"/>
      <c r="F94" s="229"/>
      <c r="G94" s="229"/>
      <c r="H94" s="229"/>
      <c r="I94" s="229"/>
      <c r="J94" s="229"/>
      <c r="K94" s="229"/>
      <c r="L94" s="229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229"/>
      <c r="X94" s="229"/>
      <c r="Y94" s="229"/>
      <c r="Z94" s="229"/>
      <c r="AA94" s="229"/>
      <c r="AB94" s="229"/>
      <c r="AC94" s="229"/>
      <c r="AD94" s="229"/>
      <c r="AE94" s="229"/>
      <c r="AF94" s="229"/>
      <c r="AG94" s="229"/>
      <c r="AH94" s="229"/>
      <c r="AI94" s="229"/>
      <c r="AJ94" s="229"/>
      <c r="AK94" s="229"/>
      <c r="AL94" s="229"/>
      <c r="AM94" s="229"/>
      <c r="AN94" s="229"/>
      <c r="AO94" s="229"/>
      <c r="AP94" s="229"/>
      <c r="AQ94" s="229"/>
      <c r="AR94" s="229"/>
      <c r="AS94" s="229"/>
      <c r="AT94" s="229"/>
      <c r="AU94" s="229"/>
      <c r="AV94" s="229"/>
      <c r="AW94" s="229"/>
      <c r="AX94" s="229"/>
      <c r="AY94" s="229"/>
      <c r="AZ94" s="229"/>
      <c r="BA94" s="229"/>
      <c r="BB94" s="229"/>
      <c r="BC94" s="229"/>
      <c r="BD94" s="229"/>
      <c r="BE94" s="229"/>
      <c r="BF94" s="229"/>
      <c r="BG94" s="229"/>
      <c r="BH94" s="229"/>
      <c r="BI94" s="229"/>
      <c r="BJ94" s="229"/>
      <c r="BK94" s="229"/>
      <c r="BL94" s="229"/>
      <c r="BM94" s="229"/>
      <c r="BN94" s="229"/>
      <c r="BO94" s="229"/>
      <c r="BP94" s="229"/>
      <c r="BQ94" s="229"/>
      <c r="BR94" s="229"/>
      <c r="BS94" s="229"/>
      <c r="BT94" s="229"/>
      <c r="BU94" s="229"/>
      <c r="BV94" s="229"/>
      <c r="BW94" s="229"/>
      <c r="BX94" s="229"/>
      <c r="BY94" s="305"/>
      <c r="BZ94" s="229"/>
      <c r="CA94" s="229"/>
      <c r="CB94" s="229"/>
      <c r="CC94" s="229"/>
      <c r="CD94" s="229"/>
      <c r="CE94" s="229"/>
    </row>
    <row r="97" spans="3:76">
      <c r="C97" s="308" t="s">
        <v>263</v>
      </c>
      <c r="D97" s="309"/>
      <c r="E97" s="310">
        <f t="shared" ref="E97:BX97" si="54">-(E5+E74)</f>
        <v>0</v>
      </c>
      <c r="F97" s="310">
        <f t="shared" si="54"/>
        <v>0</v>
      </c>
      <c r="G97" s="310">
        <f t="shared" si="54"/>
        <v>0</v>
      </c>
      <c r="H97" s="310">
        <f t="shared" si="54"/>
        <v>0</v>
      </c>
      <c r="I97" s="310">
        <f t="shared" si="54"/>
        <v>-87324</v>
      </c>
      <c r="J97" s="310">
        <f t="shared" si="54"/>
        <v>-100000</v>
      </c>
      <c r="K97" s="310">
        <f t="shared" si="54"/>
        <v>3400000</v>
      </c>
      <c r="L97" s="310">
        <f t="shared" si="54"/>
        <v>-5024500</v>
      </c>
      <c r="M97" s="310">
        <f t="shared" si="54"/>
        <v>-1000</v>
      </c>
      <c r="N97" s="310">
        <f t="shared" si="54"/>
        <v>-80000</v>
      </c>
      <c r="O97" s="310">
        <f t="shared" si="54"/>
        <v>-31000</v>
      </c>
      <c r="P97" s="310">
        <f t="shared" si="54"/>
        <v>0</v>
      </c>
      <c r="Q97" s="310">
        <f t="shared" si="54"/>
        <v>1918824</v>
      </c>
      <c r="R97" s="310">
        <f t="shared" si="54"/>
        <v>0</v>
      </c>
      <c r="S97" s="310">
        <f t="shared" si="54"/>
        <v>0</v>
      </c>
      <c r="T97" s="310">
        <f t="shared" si="54"/>
        <v>0</v>
      </c>
      <c r="U97" s="310">
        <f t="shared" si="54"/>
        <v>-16306</v>
      </c>
      <c r="V97" s="310">
        <f t="shared" si="54"/>
        <v>0</v>
      </c>
      <c r="W97" s="310">
        <f t="shared" si="54"/>
        <v>0</v>
      </c>
      <c r="X97" s="310">
        <f t="shared" si="54"/>
        <v>-500000</v>
      </c>
      <c r="Y97" s="310">
        <f t="shared" si="54"/>
        <v>0</v>
      </c>
      <c r="Z97" s="310">
        <f t="shared" si="54"/>
        <v>-1500000</v>
      </c>
      <c r="AA97" s="310">
        <f t="shared" si="54"/>
        <v>0</v>
      </c>
      <c r="AB97" s="310">
        <f t="shared" si="54"/>
        <v>-100000</v>
      </c>
      <c r="AC97" s="310">
        <f t="shared" si="54"/>
        <v>-250000</v>
      </c>
      <c r="AD97" s="310">
        <f t="shared" si="54"/>
        <v>0</v>
      </c>
      <c r="AE97" s="310">
        <f t="shared" si="54"/>
        <v>0</v>
      </c>
      <c r="AF97" s="310">
        <f t="shared" si="54"/>
        <v>0</v>
      </c>
      <c r="AG97" s="310">
        <f t="shared" si="54"/>
        <v>-1770000</v>
      </c>
      <c r="AH97" s="310">
        <f t="shared" si="54"/>
        <v>-1850000</v>
      </c>
      <c r="AI97" s="310">
        <f t="shared" si="54"/>
        <v>-770000</v>
      </c>
      <c r="AJ97" s="310">
        <f t="shared" si="54"/>
        <v>0</v>
      </c>
      <c r="AK97" s="310">
        <f t="shared" si="54"/>
        <v>0</v>
      </c>
      <c r="AL97" s="310">
        <f t="shared" si="54"/>
        <v>0</v>
      </c>
      <c r="AM97" s="310">
        <f t="shared" si="54"/>
        <v>0</v>
      </c>
      <c r="AN97" s="310">
        <f t="shared" si="54"/>
        <v>0</v>
      </c>
      <c r="AO97" s="310">
        <f t="shared" si="54"/>
        <v>6761306</v>
      </c>
      <c r="AP97" s="310">
        <f t="shared" si="54"/>
        <v>0</v>
      </c>
      <c r="AQ97" s="310">
        <f t="shared" si="54"/>
        <v>0</v>
      </c>
      <c r="AR97" s="310">
        <f t="shared" si="54"/>
        <v>0</v>
      </c>
      <c r="AS97" s="310">
        <f t="shared" si="54"/>
        <v>0</v>
      </c>
      <c r="AT97" s="310">
        <f t="shared" si="54"/>
        <v>0</v>
      </c>
      <c r="AU97" s="310">
        <f t="shared" si="54"/>
        <v>0</v>
      </c>
      <c r="AV97" s="310">
        <f t="shared" si="54"/>
        <v>0</v>
      </c>
      <c r="AW97" s="310">
        <f t="shared" si="54"/>
        <v>0</v>
      </c>
      <c r="AX97" s="310">
        <f t="shared" si="54"/>
        <v>0</v>
      </c>
      <c r="AY97" s="310">
        <f t="shared" si="54"/>
        <v>0</v>
      </c>
      <c r="AZ97" s="310">
        <f t="shared" si="54"/>
        <v>0</v>
      </c>
      <c r="BA97" s="310">
        <f t="shared" si="54"/>
        <v>0</v>
      </c>
      <c r="BB97" s="310">
        <f t="shared" si="54"/>
        <v>0</v>
      </c>
      <c r="BC97" s="310">
        <f t="shared" si="54"/>
        <v>0</v>
      </c>
      <c r="BD97" s="310">
        <f t="shared" si="54"/>
        <v>0</v>
      </c>
      <c r="BE97" s="310">
        <f t="shared" si="54"/>
        <v>0</v>
      </c>
      <c r="BF97" s="310">
        <f t="shared" si="54"/>
        <v>0</v>
      </c>
      <c r="BG97" s="310">
        <f t="shared" si="54"/>
        <v>0</v>
      </c>
      <c r="BH97" s="310">
        <f t="shared" si="54"/>
        <v>0</v>
      </c>
      <c r="BI97" s="310">
        <f t="shared" si="54"/>
        <v>0</v>
      </c>
      <c r="BJ97" s="310">
        <f t="shared" si="54"/>
        <v>0</v>
      </c>
      <c r="BK97" s="310">
        <f t="shared" si="54"/>
        <v>0</v>
      </c>
      <c r="BL97" s="310">
        <f t="shared" si="54"/>
        <v>0</v>
      </c>
      <c r="BM97" s="310">
        <f t="shared" si="54"/>
        <v>0</v>
      </c>
      <c r="BN97" s="310">
        <f t="shared" si="54"/>
        <v>0</v>
      </c>
      <c r="BO97" s="310">
        <f t="shared" si="54"/>
        <v>0</v>
      </c>
      <c r="BP97" s="310">
        <f t="shared" si="54"/>
        <v>0</v>
      </c>
      <c r="BQ97" s="310">
        <f t="shared" si="54"/>
        <v>0</v>
      </c>
      <c r="BR97" s="310">
        <f t="shared" si="54"/>
        <v>0</v>
      </c>
      <c r="BS97" s="310">
        <f t="shared" si="54"/>
        <v>0</v>
      </c>
      <c r="BT97" s="310">
        <f t="shared" si="54"/>
        <v>0</v>
      </c>
      <c r="BU97" s="310">
        <f t="shared" si="54"/>
        <v>0</v>
      </c>
      <c r="BV97" s="310">
        <f t="shared" si="54"/>
        <v>0</v>
      </c>
      <c r="BW97" s="310">
        <f t="shared" si="54"/>
        <v>0</v>
      </c>
      <c r="BX97" s="310">
        <f t="shared" si="54"/>
        <v>0</v>
      </c>
    </row>
    <row r="98" spans="3:76">
      <c r="C98" s="308" t="s">
        <v>264</v>
      </c>
      <c r="D98" s="317"/>
      <c r="E98" s="309"/>
      <c r="F98" s="309"/>
      <c r="G98" s="309"/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309"/>
      <c r="AA98" s="309"/>
      <c r="AB98" s="309"/>
      <c r="AC98" s="309"/>
      <c r="AD98" s="309"/>
      <c r="AE98" s="309"/>
      <c r="AF98" s="309"/>
      <c r="AG98" s="309"/>
      <c r="AH98" s="309"/>
      <c r="AI98" s="309"/>
      <c r="AJ98" s="309"/>
      <c r="AK98" s="309"/>
      <c r="AL98" s="309"/>
      <c r="AM98" s="309"/>
      <c r="AN98" s="309"/>
      <c r="AO98" s="309"/>
      <c r="AP98" s="309"/>
      <c r="AQ98" s="309"/>
      <c r="AR98" s="309"/>
      <c r="AS98" s="309"/>
      <c r="AT98" s="309"/>
      <c r="AU98" s="309"/>
      <c r="AV98" s="309"/>
      <c r="AW98" s="309"/>
      <c r="AX98" s="309"/>
      <c r="AY98" s="309"/>
      <c r="AZ98" s="309"/>
      <c r="BA98" s="309"/>
      <c r="BB98" s="309"/>
      <c r="BC98" s="309"/>
      <c r="BD98" s="309"/>
      <c r="BE98" s="309"/>
      <c r="BF98" s="309"/>
      <c r="BG98" s="309"/>
      <c r="BH98" s="309"/>
      <c r="BI98" s="309"/>
      <c r="BJ98" s="309"/>
      <c r="BK98" s="309"/>
      <c r="BL98" s="309"/>
      <c r="BM98" s="309"/>
      <c r="BN98" s="309"/>
      <c r="BO98" s="309"/>
      <c r="BP98" s="309"/>
      <c r="BQ98" s="309"/>
      <c r="BR98" s="309"/>
      <c r="BS98" s="309"/>
      <c r="BT98" s="309"/>
      <c r="BU98" s="309"/>
      <c r="BV98" s="309"/>
      <c r="BW98" s="309"/>
      <c r="BX98" s="309"/>
    </row>
    <row r="99" spans="3:76">
      <c r="C99" s="308" t="s">
        <v>265</v>
      </c>
      <c r="D99" s="317"/>
      <c r="E99" s="309">
        <f t="shared" ref="E99:BX99" si="55">-E55</f>
        <v>0</v>
      </c>
      <c r="F99" s="309">
        <f t="shared" si="55"/>
        <v>0</v>
      </c>
      <c r="G99" s="309">
        <f t="shared" si="55"/>
        <v>0</v>
      </c>
      <c r="H99" s="309">
        <f t="shared" si="55"/>
        <v>0</v>
      </c>
      <c r="I99" s="309">
        <f t="shared" si="55"/>
        <v>0</v>
      </c>
      <c r="J99" s="309">
        <f t="shared" si="55"/>
        <v>0</v>
      </c>
      <c r="K99" s="309">
        <f t="shared" si="55"/>
        <v>0</v>
      </c>
      <c r="L99" s="309">
        <f t="shared" si="55"/>
        <v>0</v>
      </c>
      <c r="M99" s="309">
        <f t="shared" si="55"/>
        <v>0</v>
      </c>
      <c r="N99" s="309">
        <f t="shared" si="55"/>
        <v>0</v>
      </c>
      <c r="O99" s="309">
        <f t="shared" si="55"/>
        <v>0</v>
      </c>
      <c r="P99" s="309">
        <f t="shared" si="55"/>
        <v>0</v>
      </c>
      <c r="Q99" s="309">
        <f t="shared" si="55"/>
        <v>113313</v>
      </c>
      <c r="R99" s="309">
        <f t="shared" si="55"/>
        <v>0</v>
      </c>
      <c r="S99" s="309">
        <f t="shared" si="55"/>
        <v>0</v>
      </c>
      <c r="T99" s="309">
        <f t="shared" si="55"/>
        <v>0</v>
      </c>
      <c r="U99" s="309">
        <f t="shared" si="55"/>
        <v>0</v>
      </c>
      <c r="V99" s="309">
        <f t="shared" si="55"/>
        <v>0</v>
      </c>
      <c r="W99" s="309">
        <f t="shared" si="55"/>
        <v>0</v>
      </c>
      <c r="X99" s="309">
        <f t="shared" si="55"/>
        <v>0</v>
      </c>
      <c r="Y99" s="309">
        <f t="shared" si="55"/>
        <v>0</v>
      </c>
      <c r="Z99" s="309">
        <f t="shared" si="55"/>
        <v>0</v>
      </c>
      <c r="AA99" s="309">
        <f t="shared" si="55"/>
        <v>0</v>
      </c>
      <c r="AB99" s="309">
        <f t="shared" si="55"/>
        <v>0</v>
      </c>
      <c r="AC99" s="309">
        <f t="shared" si="55"/>
        <v>0</v>
      </c>
      <c r="AD99" s="309">
        <f t="shared" si="55"/>
        <v>0</v>
      </c>
      <c r="AE99" s="309">
        <f t="shared" si="55"/>
        <v>0</v>
      </c>
      <c r="AF99" s="309">
        <f t="shared" si="55"/>
        <v>0</v>
      </c>
      <c r="AG99" s="309">
        <f t="shared" si="55"/>
        <v>0</v>
      </c>
      <c r="AH99" s="309">
        <f t="shared" si="55"/>
        <v>0</v>
      </c>
      <c r="AI99" s="309">
        <f t="shared" si="55"/>
        <v>0</v>
      </c>
      <c r="AJ99" s="309">
        <f t="shared" si="55"/>
        <v>0</v>
      </c>
      <c r="AK99" s="309">
        <f t="shared" si="55"/>
        <v>0</v>
      </c>
      <c r="AL99" s="309">
        <f t="shared" si="55"/>
        <v>0</v>
      </c>
      <c r="AM99" s="309">
        <f t="shared" si="55"/>
        <v>0</v>
      </c>
      <c r="AN99" s="309">
        <f t="shared" si="55"/>
        <v>0</v>
      </c>
      <c r="AO99" s="309">
        <f t="shared" si="55"/>
        <v>860897.51000000024</v>
      </c>
      <c r="AP99" s="309">
        <f t="shared" si="55"/>
        <v>0</v>
      </c>
      <c r="AQ99" s="309">
        <f t="shared" si="55"/>
        <v>0</v>
      </c>
      <c r="AR99" s="309">
        <f t="shared" si="55"/>
        <v>0</v>
      </c>
      <c r="AS99" s="309">
        <f t="shared" si="55"/>
        <v>0</v>
      </c>
      <c r="AT99" s="309">
        <f t="shared" si="55"/>
        <v>0</v>
      </c>
      <c r="AU99" s="309">
        <f t="shared" si="55"/>
        <v>0</v>
      </c>
      <c r="AV99" s="309">
        <f t="shared" si="55"/>
        <v>0</v>
      </c>
      <c r="AW99" s="309">
        <f t="shared" si="55"/>
        <v>0</v>
      </c>
      <c r="AX99" s="309">
        <f t="shared" si="55"/>
        <v>0</v>
      </c>
      <c r="AY99" s="309">
        <f t="shared" si="55"/>
        <v>0</v>
      </c>
      <c r="AZ99" s="309">
        <f t="shared" si="55"/>
        <v>0</v>
      </c>
      <c r="BA99" s="309">
        <f t="shared" si="55"/>
        <v>0</v>
      </c>
      <c r="BB99" s="309">
        <f t="shared" si="55"/>
        <v>0</v>
      </c>
      <c r="BC99" s="309">
        <f t="shared" si="55"/>
        <v>0</v>
      </c>
      <c r="BD99" s="309">
        <f t="shared" si="55"/>
        <v>0</v>
      </c>
      <c r="BE99" s="309">
        <f t="shared" si="55"/>
        <v>0</v>
      </c>
      <c r="BF99" s="309">
        <f t="shared" si="55"/>
        <v>0</v>
      </c>
      <c r="BG99" s="309">
        <f t="shared" si="55"/>
        <v>0</v>
      </c>
      <c r="BH99" s="309">
        <f t="shared" si="55"/>
        <v>0</v>
      </c>
      <c r="BI99" s="309">
        <f t="shared" si="55"/>
        <v>0</v>
      </c>
      <c r="BJ99" s="309">
        <f t="shared" si="55"/>
        <v>0</v>
      </c>
      <c r="BK99" s="309">
        <f t="shared" si="55"/>
        <v>0</v>
      </c>
      <c r="BL99" s="309">
        <f t="shared" si="55"/>
        <v>0</v>
      </c>
      <c r="BM99" s="309">
        <f t="shared" si="55"/>
        <v>0</v>
      </c>
      <c r="BN99" s="309">
        <f t="shared" si="55"/>
        <v>0</v>
      </c>
      <c r="BO99" s="309">
        <f t="shared" si="55"/>
        <v>0</v>
      </c>
      <c r="BP99" s="309">
        <f t="shared" si="55"/>
        <v>0</v>
      </c>
      <c r="BQ99" s="309">
        <f t="shared" si="55"/>
        <v>0</v>
      </c>
      <c r="BR99" s="309">
        <f t="shared" si="55"/>
        <v>0</v>
      </c>
      <c r="BS99" s="309">
        <f t="shared" si="55"/>
        <v>0</v>
      </c>
      <c r="BT99" s="309">
        <f t="shared" si="55"/>
        <v>0</v>
      </c>
      <c r="BU99" s="309">
        <f t="shared" si="55"/>
        <v>0</v>
      </c>
      <c r="BV99" s="309">
        <f t="shared" si="55"/>
        <v>0</v>
      </c>
      <c r="BW99" s="309">
        <f t="shared" si="55"/>
        <v>0</v>
      </c>
      <c r="BX99" s="309">
        <f t="shared" si="55"/>
        <v>0</v>
      </c>
    </row>
    <row r="100" spans="3:76">
      <c r="C100" s="308" t="s">
        <v>266</v>
      </c>
      <c r="D100" s="317"/>
      <c r="E100" s="309"/>
      <c r="F100" s="309"/>
      <c r="G100" s="309"/>
      <c r="H100" s="309"/>
      <c r="I100" s="309"/>
      <c r="J100" s="309"/>
      <c r="K100" s="309"/>
      <c r="L100" s="309"/>
      <c r="M100" s="309"/>
      <c r="N100" s="309"/>
      <c r="O100" s="309"/>
      <c r="P100" s="309"/>
      <c r="Q100" s="309"/>
      <c r="R100" s="309"/>
      <c r="S100" s="309"/>
      <c r="T100" s="309"/>
      <c r="U100" s="309"/>
      <c r="V100" s="309"/>
      <c r="W100" s="309"/>
      <c r="X100" s="309"/>
      <c r="Y100" s="309"/>
      <c r="Z100" s="309"/>
      <c r="AA100" s="309"/>
      <c r="AB100" s="309"/>
      <c r="AC100" s="309"/>
      <c r="AD100" s="309"/>
      <c r="AE100" s="309"/>
      <c r="AF100" s="309"/>
      <c r="AG100" s="309"/>
      <c r="AH100" s="309"/>
      <c r="AI100" s="309"/>
      <c r="AJ100" s="309"/>
      <c r="AK100" s="309"/>
      <c r="AL100" s="309"/>
      <c r="AM100" s="309"/>
      <c r="AN100" s="309"/>
      <c r="AO100" s="309">
        <f>AO84*$D$102</f>
        <v>4072610.0233362154</v>
      </c>
      <c r="AP100" s="309"/>
      <c r="AQ100" s="309"/>
      <c r="AR100" s="309"/>
      <c r="AS100" s="309"/>
      <c r="AT100" s="309"/>
      <c r="AU100" s="309"/>
      <c r="AV100" s="309"/>
      <c r="AW100" s="309"/>
      <c r="AX100" s="309"/>
      <c r="AY100" s="309"/>
      <c r="AZ100" s="309"/>
      <c r="BA100" s="309"/>
      <c r="BB100" s="309"/>
      <c r="BC100" s="309"/>
      <c r="BD100" s="309"/>
      <c r="BE100" s="309"/>
      <c r="BF100" s="309"/>
      <c r="BG100" s="309"/>
      <c r="BH100" s="309"/>
      <c r="BI100" s="309"/>
      <c r="BJ100" s="309"/>
      <c r="BK100" s="309"/>
      <c r="BL100" s="309"/>
      <c r="BM100" s="309"/>
      <c r="BN100" s="309"/>
      <c r="BO100" s="309"/>
      <c r="BP100" s="309"/>
      <c r="BQ100" s="309"/>
      <c r="BR100" s="309"/>
      <c r="BS100" s="309"/>
      <c r="BT100" s="309"/>
      <c r="BU100" s="309"/>
      <c r="BV100" s="309"/>
      <c r="BW100" s="309"/>
      <c r="BX100" s="309">
        <f>IF(D90&gt;0.25,(BX84-BX93)*D102,BX84*D102)</f>
        <v>3258088.0186689724</v>
      </c>
    </row>
    <row r="101" spans="3:76">
      <c r="C101" s="308" t="s">
        <v>262</v>
      </c>
      <c r="D101" s="317"/>
      <c r="E101" s="309"/>
      <c r="F101" s="309"/>
      <c r="G101" s="309"/>
      <c r="H101" s="309"/>
      <c r="I101" s="309"/>
      <c r="J101" s="309"/>
      <c r="K101" s="309"/>
      <c r="L101" s="309"/>
      <c r="M101" s="309"/>
      <c r="N101" s="309"/>
      <c r="O101" s="309"/>
      <c r="P101" s="309"/>
      <c r="Q101" s="309"/>
      <c r="R101" s="309"/>
      <c r="S101" s="309"/>
      <c r="T101" s="309"/>
      <c r="U101" s="309"/>
      <c r="V101" s="309"/>
      <c r="W101" s="309"/>
      <c r="X101" s="309"/>
      <c r="Y101" s="309"/>
      <c r="Z101" s="309"/>
      <c r="AA101" s="309"/>
      <c r="AB101" s="309"/>
      <c r="AC101" s="309"/>
      <c r="AD101" s="309"/>
      <c r="AE101" s="309"/>
      <c r="AF101" s="309"/>
      <c r="AG101" s="309"/>
      <c r="AH101" s="309"/>
      <c r="AI101" s="309"/>
      <c r="AJ101" s="309"/>
      <c r="AK101" s="309"/>
      <c r="AL101" s="309"/>
      <c r="AM101" s="309"/>
      <c r="AN101" s="309"/>
      <c r="AO101" s="309"/>
      <c r="AP101" s="309"/>
      <c r="AQ101" s="309"/>
      <c r="AR101" s="309"/>
      <c r="AS101" s="309"/>
      <c r="AT101" s="309"/>
      <c r="AU101" s="309"/>
      <c r="AV101" s="309"/>
      <c r="AW101" s="309"/>
      <c r="AX101" s="309"/>
      <c r="AY101" s="309"/>
      <c r="AZ101" s="309"/>
      <c r="BA101" s="309"/>
      <c r="BB101" s="309"/>
      <c r="BC101" s="309"/>
      <c r="BD101" s="309"/>
      <c r="BE101" s="309"/>
      <c r="BF101" s="309"/>
      <c r="BG101" s="309"/>
      <c r="BH101" s="309"/>
      <c r="BI101" s="309"/>
      <c r="BJ101" s="309"/>
      <c r="BK101" s="309"/>
      <c r="BL101" s="309"/>
      <c r="BM101" s="309"/>
      <c r="BN101" s="309"/>
      <c r="BO101" s="309"/>
      <c r="BP101" s="309"/>
      <c r="BQ101" s="309"/>
      <c r="BR101" s="309"/>
      <c r="BS101" s="309"/>
      <c r="BT101" s="309"/>
      <c r="BU101" s="309"/>
      <c r="BV101" s="309"/>
      <c r="BW101" s="309"/>
      <c r="BX101" s="309">
        <f>IF(D90&gt;0.25,BX93,0)</f>
        <v>4072610.0233362154</v>
      </c>
    </row>
    <row r="102" spans="3:76">
      <c r="C102" s="311" t="s">
        <v>267</v>
      </c>
      <c r="D102" s="317">
        <v>0.2</v>
      </c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  <c r="AA102" s="250"/>
      <c r="AB102" s="250"/>
      <c r="AC102" s="250"/>
      <c r="AD102" s="250"/>
      <c r="AE102" s="250"/>
      <c r="AF102" s="250"/>
      <c r="AG102" s="250"/>
      <c r="AH102" s="250"/>
      <c r="AI102" s="250"/>
      <c r="AJ102" s="250"/>
      <c r="AK102" s="250"/>
      <c r="AL102" s="250"/>
      <c r="AM102" s="250"/>
      <c r="AN102" s="250"/>
      <c r="AO102" s="250"/>
      <c r="AP102" s="250"/>
      <c r="AQ102" s="250"/>
      <c r="AR102" s="250"/>
      <c r="AS102" s="250"/>
      <c r="AT102" s="250"/>
      <c r="AU102" s="250"/>
      <c r="AV102" s="250"/>
      <c r="AW102" s="250"/>
      <c r="AX102" s="250"/>
      <c r="AY102" s="250"/>
      <c r="AZ102" s="250"/>
      <c r="BA102" s="250"/>
      <c r="BB102" s="250"/>
      <c r="BC102" s="318"/>
      <c r="BD102" s="250"/>
      <c r="BE102" s="250"/>
      <c r="BF102" s="250"/>
      <c r="BG102" s="250"/>
      <c r="BH102" s="250"/>
      <c r="BI102" s="250"/>
      <c r="BJ102" s="250"/>
      <c r="BK102" s="250"/>
      <c r="BL102" s="250"/>
      <c r="BM102" s="250"/>
      <c r="BN102" s="250"/>
      <c r="BO102" s="250"/>
      <c r="BP102" s="250"/>
      <c r="BQ102" s="250"/>
      <c r="BR102" s="250"/>
      <c r="BS102" s="250"/>
      <c r="BT102" s="250"/>
      <c r="BU102" s="250"/>
      <c r="BV102" s="250"/>
      <c r="BW102" s="250"/>
      <c r="BX102" s="250"/>
    </row>
    <row r="103" spans="3:76">
      <c r="C103" s="308" t="s">
        <v>268</v>
      </c>
      <c r="D103" s="312"/>
      <c r="E103" s="319">
        <f t="shared" ref="E103:BW103" si="56">E97+E98+E99+E100+E102</f>
        <v>0</v>
      </c>
      <c r="F103" s="319">
        <f t="shared" si="56"/>
        <v>0</v>
      </c>
      <c r="G103" s="319">
        <f t="shared" si="56"/>
        <v>0</v>
      </c>
      <c r="H103" s="319">
        <f t="shared" si="56"/>
        <v>0</v>
      </c>
      <c r="I103" s="319">
        <f t="shared" si="56"/>
        <v>-87324</v>
      </c>
      <c r="J103" s="319">
        <f t="shared" si="56"/>
        <v>-100000</v>
      </c>
      <c r="K103" s="319">
        <f t="shared" si="56"/>
        <v>3400000</v>
      </c>
      <c r="L103" s="319">
        <f t="shared" si="56"/>
        <v>-5024500</v>
      </c>
      <c r="M103" s="319">
        <f t="shared" si="56"/>
        <v>-1000</v>
      </c>
      <c r="N103" s="319">
        <f t="shared" si="56"/>
        <v>-80000</v>
      </c>
      <c r="O103" s="319">
        <f t="shared" si="56"/>
        <v>-31000</v>
      </c>
      <c r="P103" s="319">
        <f t="shared" si="56"/>
        <v>0</v>
      </c>
      <c r="Q103" s="319">
        <f t="shared" si="56"/>
        <v>2032137</v>
      </c>
      <c r="R103" s="319">
        <f t="shared" si="56"/>
        <v>0</v>
      </c>
      <c r="S103" s="319">
        <f t="shared" si="56"/>
        <v>0</v>
      </c>
      <c r="T103" s="319">
        <f t="shared" si="56"/>
        <v>0</v>
      </c>
      <c r="U103" s="319">
        <f t="shared" si="56"/>
        <v>-16306</v>
      </c>
      <c r="V103" s="319">
        <f t="shared" si="56"/>
        <v>0</v>
      </c>
      <c r="W103" s="319">
        <f t="shared" si="56"/>
        <v>0</v>
      </c>
      <c r="X103" s="319">
        <f t="shared" si="56"/>
        <v>-500000</v>
      </c>
      <c r="Y103" s="319">
        <f t="shared" si="56"/>
        <v>0</v>
      </c>
      <c r="Z103" s="319">
        <f t="shared" si="56"/>
        <v>-1500000</v>
      </c>
      <c r="AA103" s="319">
        <f t="shared" si="56"/>
        <v>0</v>
      </c>
      <c r="AB103" s="319">
        <f t="shared" si="56"/>
        <v>-100000</v>
      </c>
      <c r="AC103" s="319">
        <f t="shared" si="56"/>
        <v>-250000</v>
      </c>
      <c r="AD103" s="319">
        <f t="shared" si="56"/>
        <v>0</v>
      </c>
      <c r="AE103" s="319">
        <f t="shared" si="56"/>
        <v>0</v>
      </c>
      <c r="AF103" s="319">
        <f t="shared" si="56"/>
        <v>0</v>
      </c>
      <c r="AG103" s="319">
        <f t="shared" si="56"/>
        <v>-1770000</v>
      </c>
      <c r="AH103" s="319">
        <f t="shared" si="56"/>
        <v>-1850000</v>
      </c>
      <c r="AI103" s="319">
        <f t="shared" si="56"/>
        <v>-770000</v>
      </c>
      <c r="AJ103" s="319">
        <f t="shared" si="56"/>
        <v>0</v>
      </c>
      <c r="AK103" s="319">
        <f t="shared" si="56"/>
        <v>0</v>
      </c>
      <c r="AL103" s="319">
        <f t="shared" si="56"/>
        <v>0</v>
      </c>
      <c r="AM103" s="319">
        <f t="shared" si="56"/>
        <v>0</v>
      </c>
      <c r="AN103" s="319">
        <f t="shared" si="56"/>
        <v>0</v>
      </c>
      <c r="AO103" s="319">
        <f t="shared" si="56"/>
        <v>11694813.533336215</v>
      </c>
      <c r="AP103" s="319">
        <f t="shared" si="56"/>
        <v>0</v>
      </c>
      <c r="AQ103" s="319">
        <f t="shared" si="56"/>
        <v>0</v>
      </c>
      <c r="AR103" s="319">
        <f t="shared" si="56"/>
        <v>0</v>
      </c>
      <c r="AS103" s="319">
        <f t="shared" si="56"/>
        <v>0</v>
      </c>
      <c r="AT103" s="319">
        <f t="shared" si="56"/>
        <v>0</v>
      </c>
      <c r="AU103" s="319">
        <f t="shared" si="56"/>
        <v>0</v>
      </c>
      <c r="AV103" s="319">
        <f t="shared" si="56"/>
        <v>0</v>
      </c>
      <c r="AW103" s="319">
        <f t="shared" si="56"/>
        <v>0</v>
      </c>
      <c r="AX103" s="319">
        <f t="shared" si="56"/>
        <v>0</v>
      </c>
      <c r="AY103" s="319">
        <f t="shared" si="56"/>
        <v>0</v>
      </c>
      <c r="AZ103" s="319">
        <f t="shared" si="56"/>
        <v>0</v>
      </c>
      <c r="BA103" s="319">
        <f t="shared" si="56"/>
        <v>0</v>
      </c>
      <c r="BB103" s="319">
        <f t="shared" si="56"/>
        <v>0</v>
      </c>
      <c r="BC103" s="319">
        <f t="shared" si="56"/>
        <v>0</v>
      </c>
      <c r="BD103" s="319">
        <f t="shared" si="56"/>
        <v>0</v>
      </c>
      <c r="BE103" s="319">
        <f t="shared" si="56"/>
        <v>0</v>
      </c>
      <c r="BF103" s="319">
        <f t="shared" si="56"/>
        <v>0</v>
      </c>
      <c r="BG103" s="319">
        <f t="shared" si="56"/>
        <v>0</v>
      </c>
      <c r="BH103" s="319">
        <f t="shared" si="56"/>
        <v>0</v>
      </c>
      <c r="BI103" s="319">
        <f t="shared" si="56"/>
        <v>0</v>
      </c>
      <c r="BJ103" s="319">
        <f t="shared" si="56"/>
        <v>0</v>
      </c>
      <c r="BK103" s="319">
        <f t="shared" si="56"/>
        <v>0</v>
      </c>
      <c r="BL103" s="319">
        <f t="shared" si="56"/>
        <v>0</v>
      </c>
      <c r="BM103" s="319">
        <f t="shared" si="56"/>
        <v>0</v>
      </c>
      <c r="BN103" s="319">
        <f t="shared" si="56"/>
        <v>0</v>
      </c>
      <c r="BO103" s="319">
        <f t="shared" si="56"/>
        <v>0</v>
      </c>
      <c r="BP103" s="319">
        <f t="shared" si="56"/>
        <v>0</v>
      </c>
      <c r="BQ103" s="319">
        <f t="shared" si="56"/>
        <v>0</v>
      </c>
      <c r="BR103" s="319">
        <f t="shared" si="56"/>
        <v>0</v>
      </c>
      <c r="BS103" s="319">
        <f t="shared" si="56"/>
        <v>0</v>
      </c>
      <c r="BT103" s="319">
        <f t="shared" si="56"/>
        <v>0</v>
      </c>
      <c r="BU103" s="319">
        <f t="shared" si="56"/>
        <v>0</v>
      </c>
      <c r="BV103" s="319">
        <f t="shared" si="56"/>
        <v>0</v>
      </c>
      <c r="BW103" s="319">
        <f t="shared" si="56"/>
        <v>0</v>
      </c>
      <c r="BX103" s="319">
        <f>BX97+BX98+BX99+BX100+BX101+BX102</f>
        <v>7330698.0420051878</v>
      </c>
    </row>
    <row r="104" spans="3:76">
      <c r="C104" s="308"/>
      <c r="D104" s="320"/>
      <c r="E104" s="321">
        <f>E103</f>
        <v>0</v>
      </c>
      <c r="F104" s="321">
        <f t="shared" ref="F104:BX104" si="57">E104+F103</f>
        <v>0</v>
      </c>
      <c r="G104" s="321">
        <f t="shared" si="57"/>
        <v>0</v>
      </c>
      <c r="H104" s="321">
        <f t="shared" si="57"/>
        <v>0</v>
      </c>
      <c r="I104" s="321">
        <f t="shared" si="57"/>
        <v>-87324</v>
      </c>
      <c r="J104" s="321">
        <f t="shared" si="57"/>
        <v>-187324</v>
      </c>
      <c r="K104" s="321">
        <f t="shared" si="57"/>
        <v>3212676</v>
      </c>
      <c r="L104" s="321">
        <f t="shared" si="57"/>
        <v>-1811824</v>
      </c>
      <c r="M104" s="321">
        <f t="shared" si="57"/>
        <v>-1812824</v>
      </c>
      <c r="N104" s="321">
        <f t="shared" si="57"/>
        <v>-1892824</v>
      </c>
      <c r="O104" s="321">
        <f t="shared" si="57"/>
        <v>-1923824</v>
      </c>
      <c r="P104" s="321">
        <f t="shared" si="57"/>
        <v>-1923824</v>
      </c>
      <c r="Q104" s="321">
        <f t="shared" si="57"/>
        <v>108313</v>
      </c>
      <c r="R104" s="321">
        <f t="shared" si="57"/>
        <v>108313</v>
      </c>
      <c r="S104" s="321">
        <f t="shared" si="57"/>
        <v>108313</v>
      </c>
      <c r="T104" s="321">
        <f t="shared" si="57"/>
        <v>108313</v>
      </c>
      <c r="U104" s="321">
        <f t="shared" si="57"/>
        <v>92007</v>
      </c>
      <c r="V104" s="321">
        <f t="shared" si="57"/>
        <v>92007</v>
      </c>
      <c r="W104" s="321">
        <f t="shared" si="57"/>
        <v>92007</v>
      </c>
      <c r="X104" s="321">
        <f t="shared" si="57"/>
        <v>-407993</v>
      </c>
      <c r="Y104" s="321">
        <f t="shared" si="57"/>
        <v>-407993</v>
      </c>
      <c r="Z104" s="321">
        <f t="shared" si="57"/>
        <v>-1907993</v>
      </c>
      <c r="AA104" s="321">
        <f t="shared" si="57"/>
        <v>-1907993</v>
      </c>
      <c r="AB104" s="321">
        <f t="shared" si="57"/>
        <v>-2007993</v>
      </c>
      <c r="AC104" s="321">
        <f t="shared" si="57"/>
        <v>-2257993</v>
      </c>
      <c r="AD104" s="321">
        <f t="shared" si="57"/>
        <v>-2257993</v>
      </c>
      <c r="AE104" s="321">
        <f t="shared" si="57"/>
        <v>-2257993</v>
      </c>
      <c r="AF104" s="321">
        <f t="shared" si="57"/>
        <v>-2257993</v>
      </c>
      <c r="AG104" s="321">
        <f t="shared" si="57"/>
        <v>-4027993</v>
      </c>
      <c r="AH104" s="321">
        <f t="shared" si="57"/>
        <v>-5877993</v>
      </c>
      <c r="AI104" s="321">
        <f t="shared" si="57"/>
        <v>-6647993</v>
      </c>
      <c r="AJ104" s="321">
        <f t="shared" si="57"/>
        <v>-6647993</v>
      </c>
      <c r="AK104" s="321">
        <f t="shared" si="57"/>
        <v>-6647993</v>
      </c>
      <c r="AL104" s="321">
        <f t="shared" si="57"/>
        <v>-6647993</v>
      </c>
      <c r="AM104" s="321">
        <f t="shared" si="57"/>
        <v>-6647993</v>
      </c>
      <c r="AN104" s="321">
        <f t="shared" si="57"/>
        <v>-6647993</v>
      </c>
      <c r="AO104" s="321">
        <f t="shared" si="57"/>
        <v>5046820.5333362147</v>
      </c>
      <c r="AP104" s="321">
        <f t="shared" si="57"/>
        <v>5046820.5333362147</v>
      </c>
      <c r="AQ104" s="321">
        <f t="shared" si="57"/>
        <v>5046820.5333362147</v>
      </c>
      <c r="AR104" s="321">
        <f t="shared" si="57"/>
        <v>5046820.5333362147</v>
      </c>
      <c r="AS104" s="321">
        <f t="shared" si="57"/>
        <v>5046820.5333362147</v>
      </c>
      <c r="AT104" s="321">
        <f t="shared" si="57"/>
        <v>5046820.5333362147</v>
      </c>
      <c r="AU104" s="321">
        <f t="shared" si="57"/>
        <v>5046820.5333362147</v>
      </c>
      <c r="AV104" s="321">
        <f t="shared" si="57"/>
        <v>5046820.5333362147</v>
      </c>
      <c r="AW104" s="321">
        <f t="shared" si="57"/>
        <v>5046820.5333362147</v>
      </c>
      <c r="AX104" s="321">
        <f t="shared" si="57"/>
        <v>5046820.5333362147</v>
      </c>
      <c r="AY104" s="321">
        <f t="shared" si="57"/>
        <v>5046820.5333362147</v>
      </c>
      <c r="AZ104" s="321">
        <f t="shared" si="57"/>
        <v>5046820.5333362147</v>
      </c>
      <c r="BA104" s="321">
        <f t="shared" si="57"/>
        <v>5046820.5333362147</v>
      </c>
      <c r="BB104" s="321">
        <f t="shared" si="57"/>
        <v>5046820.5333362147</v>
      </c>
      <c r="BC104" s="321">
        <f t="shared" si="57"/>
        <v>5046820.5333362147</v>
      </c>
      <c r="BD104" s="321">
        <f t="shared" si="57"/>
        <v>5046820.5333362147</v>
      </c>
      <c r="BE104" s="321">
        <f t="shared" si="57"/>
        <v>5046820.5333362147</v>
      </c>
      <c r="BF104" s="321">
        <f t="shared" si="57"/>
        <v>5046820.5333362147</v>
      </c>
      <c r="BG104" s="321">
        <f t="shared" si="57"/>
        <v>5046820.5333362147</v>
      </c>
      <c r="BH104" s="321">
        <f t="shared" si="57"/>
        <v>5046820.5333362147</v>
      </c>
      <c r="BI104" s="321">
        <f t="shared" si="57"/>
        <v>5046820.5333362147</v>
      </c>
      <c r="BJ104" s="321">
        <f t="shared" si="57"/>
        <v>5046820.5333362147</v>
      </c>
      <c r="BK104" s="321">
        <f t="shared" si="57"/>
        <v>5046820.5333362147</v>
      </c>
      <c r="BL104" s="321">
        <f t="shared" si="57"/>
        <v>5046820.5333362147</v>
      </c>
      <c r="BM104" s="321">
        <f t="shared" si="57"/>
        <v>5046820.5333362147</v>
      </c>
      <c r="BN104" s="321">
        <f t="shared" si="57"/>
        <v>5046820.5333362147</v>
      </c>
      <c r="BO104" s="321">
        <f t="shared" si="57"/>
        <v>5046820.5333362147</v>
      </c>
      <c r="BP104" s="321">
        <f t="shared" si="57"/>
        <v>5046820.5333362147</v>
      </c>
      <c r="BQ104" s="321">
        <f t="shared" si="57"/>
        <v>5046820.5333362147</v>
      </c>
      <c r="BR104" s="321">
        <f t="shared" si="57"/>
        <v>5046820.5333362147</v>
      </c>
      <c r="BS104" s="321">
        <f t="shared" si="57"/>
        <v>5046820.5333362147</v>
      </c>
      <c r="BT104" s="321">
        <f t="shared" si="57"/>
        <v>5046820.5333362147</v>
      </c>
      <c r="BU104" s="321">
        <f t="shared" si="57"/>
        <v>5046820.5333362147</v>
      </c>
      <c r="BV104" s="321">
        <f t="shared" si="57"/>
        <v>5046820.5333362147</v>
      </c>
      <c r="BW104" s="321">
        <f t="shared" si="57"/>
        <v>5046820.5333362147</v>
      </c>
      <c r="BX104" s="321">
        <f t="shared" si="57"/>
        <v>12377518.575341403</v>
      </c>
    </row>
    <row r="105" spans="3:76">
      <c r="C105" s="311" t="s">
        <v>261</v>
      </c>
      <c r="D105" s="322">
        <f>IRR(I103:AO103)*12</f>
        <v>0.58279729446201944</v>
      </c>
      <c r="E105" s="229"/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29"/>
      <c r="Y105" s="229"/>
      <c r="Z105" s="229"/>
      <c r="AA105" s="229"/>
      <c r="AB105" s="229"/>
      <c r="AC105" s="229"/>
      <c r="AD105" s="229"/>
      <c r="AE105" s="229"/>
      <c r="AF105" s="229"/>
      <c r="AG105" s="229"/>
      <c r="AH105" s="229"/>
      <c r="AI105" s="229"/>
      <c r="AJ105" s="229"/>
      <c r="AK105" s="229"/>
      <c r="AL105" s="229"/>
      <c r="AM105" s="229"/>
      <c r="AN105" s="229"/>
      <c r="AO105" s="229"/>
      <c r="AP105" s="229"/>
      <c r="AQ105" s="229"/>
      <c r="AR105" s="229"/>
      <c r="AS105" s="229"/>
      <c r="AT105" s="229"/>
      <c r="AU105" s="229"/>
      <c r="AV105" s="229"/>
      <c r="AW105" s="229"/>
      <c r="AX105" s="229"/>
      <c r="AY105" s="229"/>
      <c r="AZ105" s="229"/>
      <c r="BA105" s="229"/>
      <c r="BB105" s="229"/>
      <c r="BC105" s="229"/>
      <c r="BD105" s="229"/>
      <c r="BE105" s="229"/>
      <c r="BF105" s="229"/>
      <c r="BG105" s="229"/>
      <c r="BH105" s="229"/>
      <c r="BI105" s="229"/>
      <c r="BJ105" s="229"/>
      <c r="BK105" s="229"/>
      <c r="BL105" s="229"/>
      <c r="BM105" s="229"/>
      <c r="BN105" s="229"/>
      <c r="BO105" s="229"/>
      <c r="BP105" s="229"/>
      <c r="BQ105" s="229"/>
      <c r="BR105" s="229"/>
      <c r="BS105" s="229"/>
      <c r="BT105" s="229"/>
      <c r="BU105" s="229"/>
      <c r="BV105" s="229"/>
      <c r="BW105" s="229"/>
      <c r="BX105" s="229"/>
    </row>
    <row r="106" spans="3:76">
      <c r="C106" s="323" t="s">
        <v>269</v>
      </c>
      <c r="D106" s="324">
        <f>-MIN(E104:BL104)</f>
        <v>6647993</v>
      </c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29"/>
      <c r="AC106" s="229"/>
      <c r="AD106" s="229"/>
      <c r="AE106" s="229"/>
      <c r="AF106" s="229"/>
      <c r="AG106" s="229"/>
      <c r="AH106" s="229"/>
      <c r="AI106" s="229"/>
      <c r="AJ106" s="229"/>
      <c r="AK106" s="229"/>
      <c r="AL106" s="229"/>
      <c r="AM106" s="229"/>
      <c r="AN106" s="229"/>
      <c r="AO106" s="229"/>
      <c r="AP106" s="229"/>
      <c r="AQ106" s="229"/>
      <c r="AR106" s="229"/>
      <c r="AS106" s="229"/>
      <c r="AT106" s="229"/>
      <c r="AU106" s="229"/>
      <c r="AV106" s="229"/>
      <c r="AW106" s="229"/>
      <c r="AX106" s="229"/>
      <c r="AY106" s="229"/>
      <c r="AZ106" s="229"/>
      <c r="BA106" s="229"/>
      <c r="BB106" s="229"/>
      <c r="BC106" s="229"/>
      <c r="BD106" s="229"/>
      <c r="BE106" s="229"/>
      <c r="BF106" s="229"/>
      <c r="BG106" s="229"/>
      <c r="BH106" s="229"/>
      <c r="BI106" s="229"/>
      <c r="BJ106" s="229"/>
      <c r="BK106" s="229"/>
      <c r="BL106" s="229"/>
      <c r="BM106" s="229"/>
      <c r="BN106" s="229"/>
      <c r="BO106" s="229"/>
      <c r="BP106" s="229"/>
      <c r="BQ106" s="229"/>
      <c r="BR106" s="229"/>
      <c r="BS106" s="229"/>
      <c r="BT106" s="229"/>
      <c r="BU106" s="229"/>
      <c r="BV106" s="229"/>
      <c r="BW106" s="229"/>
      <c r="BX106" s="229"/>
    </row>
    <row r="107" spans="3:76">
      <c r="C107" s="311" t="s">
        <v>270</v>
      </c>
      <c r="D107" s="325">
        <f>D106</f>
        <v>6647993</v>
      </c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29"/>
      <c r="AC107" s="229"/>
      <c r="AD107" s="229"/>
      <c r="AE107" s="229"/>
      <c r="AF107" s="229"/>
      <c r="AG107" s="229"/>
      <c r="AH107" s="229"/>
      <c r="AI107" s="229"/>
      <c r="AJ107" s="229"/>
      <c r="AK107" s="229"/>
      <c r="AL107" s="229"/>
      <c r="AM107" s="229"/>
      <c r="AN107" s="229"/>
      <c r="AO107" s="229"/>
      <c r="AP107" s="229"/>
      <c r="AQ107" s="229"/>
      <c r="AR107" s="229"/>
      <c r="AS107" s="229"/>
      <c r="AT107" s="229"/>
      <c r="AU107" s="229"/>
      <c r="AV107" s="229"/>
      <c r="AW107" s="229"/>
      <c r="AX107" s="229"/>
      <c r="AY107" s="229"/>
      <c r="AZ107" s="229"/>
      <c r="BA107" s="229"/>
      <c r="BB107" s="229"/>
      <c r="BC107" s="229"/>
      <c r="BD107" s="229"/>
      <c r="BE107" s="229"/>
      <c r="BF107" s="229"/>
      <c r="BG107" s="229"/>
      <c r="BH107" s="229"/>
      <c r="BI107" s="229"/>
      <c r="BJ107" s="229"/>
      <c r="BK107" s="229"/>
      <c r="BL107" s="229"/>
      <c r="BM107" s="229"/>
      <c r="BN107" s="229"/>
      <c r="BO107" s="229"/>
      <c r="BP107" s="229"/>
      <c r="BQ107" s="229"/>
      <c r="BR107" s="229"/>
      <c r="BS107" s="229"/>
      <c r="BT107" s="229"/>
      <c r="BU107" s="229"/>
      <c r="BV107" s="229"/>
      <c r="BW107" s="229"/>
      <c r="BX107" s="229"/>
    </row>
    <row r="108" spans="3:76">
      <c r="C108" s="311" t="s">
        <v>271</v>
      </c>
      <c r="D108" s="325">
        <f>AO100+AO99</f>
        <v>4933507.5333362157</v>
      </c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29"/>
      <c r="AC108" s="229"/>
      <c r="AD108" s="229"/>
      <c r="AE108" s="229"/>
      <c r="AF108" s="229"/>
      <c r="AG108" s="229"/>
      <c r="AH108" s="229"/>
      <c r="AI108" s="229"/>
      <c r="AJ108" s="229"/>
      <c r="AK108" s="229"/>
      <c r="AL108" s="229"/>
      <c r="AM108" s="229"/>
      <c r="AN108" s="229"/>
      <c r="AO108" s="229"/>
      <c r="AP108" s="229"/>
      <c r="AQ108" s="229"/>
      <c r="AR108" s="229"/>
      <c r="AS108" s="229"/>
      <c r="AT108" s="229"/>
      <c r="AU108" s="229"/>
      <c r="AV108" s="229"/>
      <c r="AW108" s="229"/>
      <c r="AX108" s="229"/>
      <c r="AY108" s="229"/>
      <c r="AZ108" s="229"/>
      <c r="BA108" s="229"/>
      <c r="BB108" s="229"/>
      <c r="BC108" s="229"/>
      <c r="BD108" s="229"/>
      <c r="BE108" s="229"/>
      <c r="BF108" s="229"/>
      <c r="BG108" s="229"/>
      <c r="BH108" s="229"/>
      <c r="BI108" s="229"/>
      <c r="BJ108" s="229"/>
      <c r="BK108" s="229"/>
      <c r="BL108" s="229"/>
      <c r="BM108" s="229"/>
      <c r="BN108" s="229"/>
      <c r="BO108" s="229"/>
      <c r="BP108" s="229"/>
      <c r="BQ108" s="229"/>
      <c r="BR108" s="229"/>
      <c r="BS108" s="229"/>
      <c r="BT108" s="229"/>
      <c r="BU108" s="229"/>
      <c r="BV108" s="229"/>
      <c r="BW108" s="229"/>
      <c r="BX108" s="229"/>
    </row>
    <row r="109" spans="3:76">
      <c r="C109" s="311" t="s">
        <v>272</v>
      </c>
      <c r="D109" s="322">
        <f>D108/D107</f>
        <v>0.74210480265791734</v>
      </c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29"/>
      <c r="AC109" s="229"/>
      <c r="AD109" s="229"/>
      <c r="AE109" s="229"/>
      <c r="AF109" s="229"/>
      <c r="AG109" s="229"/>
      <c r="AH109" s="229"/>
      <c r="AI109" s="229"/>
      <c r="AJ109" s="229"/>
      <c r="AK109" s="229"/>
      <c r="AL109" s="229"/>
      <c r="AM109" s="229"/>
      <c r="AN109" s="229"/>
      <c r="AO109" s="229"/>
      <c r="AP109" s="229"/>
      <c r="AQ109" s="229"/>
      <c r="AR109" s="229"/>
      <c r="AS109" s="229"/>
      <c r="AT109" s="229"/>
      <c r="AU109" s="229"/>
      <c r="AV109" s="229"/>
      <c r="AW109" s="229"/>
      <c r="AX109" s="229"/>
      <c r="AY109" s="229"/>
      <c r="AZ109" s="229"/>
      <c r="BA109" s="229"/>
      <c r="BB109" s="229"/>
      <c r="BC109" s="229"/>
      <c r="BD109" s="229"/>
      <c r="BE109" s="229"/>
      <c r="BF109" s="229"/>
      <c r="BG109" s="229"/>
      <c r="BH109" s="229"/>
      <c r="BI109" s="229"/>
      <c r="BJ109" s="229"/>
      <c r="BK109" s="229"/>
      <c r="BL109" s="229"/>
      <c r="BM109" s="229"/>
      <c r="BN109" s="229"/>
      <c r="BO109" s="229"/>
      <c r="BP109" s="229"/>
      <c r="BQ109" s="229"/>
      <c r="BR109" s="229"/>
      <c r="BS109" s="229"/>
      <c r="BT109" s="229"/>
      <c r="BU109" s="229"/>
      <c r="BV109" s="229"/>
      <c r="BW109" s="229"/>
      <c r="BX109" s="229"/>
    </row>
    <row r="113" spans="3:76">
      <c r="C113" s="308" t="s">
        <v>273</v>
      </c>
      <c r="D113" s="309"/>
      <c r="E113" s="309">
        <f t="shared" ref="E113:BX113" si="58">-(E6+E75)</f>
        <v>0</v>
      </c>
      <c r="F113" s="309">
        <f t="shared" si="58"/>
        <v>0</v>
      </c>
      <c r="G113" s="309">
        <f t="shared" si="58"/>
        <v>0</v>
      </c>
      <c r="H113" s="309">
        <f t="shared" si="58"/>
        <v>0</v>
      </c>
      <c r="I113" s="309">
        <f t="shared" si="58"/>
        <v>0</v>
      </c>
      <c r="J113" s="309">
        <f t="shared" si="58"/>
        <v>0</v>
      </c>
      <c r="K113" s="309">
        <f t="shared" si="58"/>
        <v>0</v>
      </c>
      <c r="L113" s="309">
        <f t="shared" si="58"/>
        <v>0</v>
      </c>
      <c r="M113" s="309">
        <f t="shared" si="58"/>
        <v>0</v>
      </c>
      <c r="N113" s="309">
        <f t="shared" si="58"/>
        <v>0</v>
      </c>
      <c r="O113" s="309">
        <f t="shared" si="58"/>
        <v>0</v>
      </c>
      <c r="P113" s="309">
        <f t="shared" si="58"/>
        <v>-3994008</v>
      </c>
      <c r="Q113" s="309">
        <f t="shared" si="58"/>
        <v>0</v>
      </c>
      <c r="R113" s="309">
        <f t="shared" si="58"/>
        <v>0</v>
      </c>
      <c r="S113" s="309">
        <f t="shared" si="58"/>
        <v>0</v>
      </c>
      <c r="T113" s="309">
        <f t="shared" si="58"/>
        <v>-560000</v>
      </c>
      <c r="U113" s="309">
        <f t="shared" si="58"/>
        <v>-3083694</v>
      </c>
      <c r="V113" s="309">
        <f t="shared" si="58"/>
        <v>0</v>
      </c>
      <c r="W113" s="309">
        <f t="shared" si="58"/>
        <v>0</v>
      </c>
      <c r="X113" s="309">
        <f t="shared" si="58"/>
        <v>0</v>
      </c>
      <c r="Y113" s="309">
        <f t="shared" si="58"/>
        <v>0</v>
      </c>
      <c r="Z113" s="309">
        <f t="shared" si="58"/>
        <v>0</v>
      </c>
      <c r="AA113" s="309">
        <f t="shared" si="58"/>
        <v>0</v>
      </c>
      <c r="AB113" s="309">
        <f t="shared" si="58"/>
        <v>-400000</v>
      </c>
      <c r="AC113" s="309">
        <f t="shared" si="58"/>
        <v>-1000000</v>
      </c>
      <c r="AD113" s="309">
        <f t="shared" si="58"/>
        <v>0</v>
      </c>
      <c r="AE113" s="309">
        <f t="shared" si="58"/>
        <v>0</v>
      </c>
      <c r="AF113" s="309">
        <f t="shared" si="58"/>
        <v>0</v>
      </c>
      <c r="AG113" s="309">
        <f t="shared" si="58"/>
        <v>-7080000</v>
      </c>
      <c r="AH113" s="309">
        <f t="shared" si="58"/>
        <v>-7400000</v>
      </c>
      <c r="AI113" s="309">
        <f t="shared" si="58"/>
        <v>-3080000</v>
      </c>
      <c r="AJ113" s="309">
        <f t="shared" si="58"/>
        <v>0</v>
      </c>
      <c r="AK113" s="309">
        <f t="shared" si="58"/>
        <v>0</v>
      </c>
      <c r="AL113" s="309">
        <f t="shared" si="58"/>
        <v>0</v>
      </c>
      <c r="AM113" s="309">
        <f t="shared" si="58"/>
        <v>0</v>
      </c>
      <c r="AN113" s="309">
        <f t="shared" si="58"/>
        <v>0</v>
      </c>
      <c r="AO113" s="309">
        <f t="shared" si="58"/>
        <v>26597702</v>
      </c>
      <c r="AP113" s="309">
        <f t="shared" si="58"/>
        <v>0</v>
      </c>
      <c r="AQ113" s="309">
        <f t="shared" si="58"/>
        <v>0</v>
      </c>
      <c r="AR113" s="309">
        <f t="shared" si="58"/>
        <v>0</v>
      </c>
      <c r="AS113" s="309">
        <f t="shared" si="58"/>
        <v>0</v>
      </c>
      <c r="AT113" s="309">
        <f t="shared" si="58"/>
        <v>0</v>
      </c>
      <c r="AU113" s="309">
        <f t="shared" si="58"/>
        <v>0</v>
      </c>
      <c r="AV113" s="309">
        <f t="shared" si="58"/>
        <v>0</v>
      </c>
      <c r="AW113" s="309">
        <f t="shared" si="58"/>
        <v>0</v>
      </c>
      <c r="AX113" s="309">
        <f t="shared" si="58"/>
        <v>0</v>
      </c>
      <c r="AY113" s="309">
        <f t="shared" si="58"/>
        <v>0</v>
      </c>
      <c r="AZ113" s="309">
        <f t="shared" si="58"/>
        <v>0</v>
      </c>
      <c r="BA113" s="309">
        <f t="shared" si="58"/>
        <v>0</v>
      </c>
      <c r="BB113" s="309">
        <f t="shared" si="58"/>
        <v>0</v>
      </c>
      <c r="BC113" s="309">
        <f t="shared" si="58"/>
        <v>0</v>
      </c>
      <c r="BD113" s="309">
        <f t="shared" si="58"/>
        <v>0</v>
      </c>
      <c r="BE113" s="309">
        <f t="shared" si="58"/>
        <v>0</v>
      </c>
      <c r="BF113" s="309">
        <f t="shared" si="58"/>
        <v>0</v>
      </c>
      <c r="BG113" s="309">
        <f t="shared" si="58"/>
        <v>0</v>
      </c>
      <c r="BH113" s="309">
        <f t="shared" si="58"/>
        <v>0</v>
      </c>
      <c r="BI113" s="309">
        <f t="shared" si="58"/>
        <v>0</v>
      </c>
      <c r="BJ113" s="309">
        <f t="shared" si="58"/>
        <v>0</v>
      </c>
      <c r="BK113" s="309">
        <f t="shared" si="58"/>
        <v>0</v>
      </c>
      <c r="BL113" s="309">
        <f t="shared" si="58"/>
        <v>0</v>
      </c>
      <c r="BM113" s="309">
        <f t="shared" si="58"/>
        <v>0</v>
      </c>
      <c r="BN113" s="309">
        <f t="shared" si="58"/>
        <v>0</v>
      </c>
      <c r="BO113" s="309">
        <f t="shared" si="58"/>
        <v>0</v>
      </c>
      <c r="BP113" s="309">
        <f t="shared" si="58"/>
        <v>0</v>
      </c>
      <c r="BQ113" s="309">
        <f t="shared" si="58"/>
        <v>0</v>
      </c>
      <c r="BR113" s="309">
        <f t="shared" si="58"/>
        <v>0</v>
      </c>
      <c r="BS113" s="309">
        <f t="shared" si="58"/>
        <v>0</v>
      </c>
      <c r="BT113" s="309">
        <f t="shared" si="58"/>
        <v>0</v>
      </c>
      <c r="BU113" s="309">
        <f t="shared" si="58"/>
        <v>0</v>
      </c>
      <c r="BV113" s="309">
        <f t="shared" si="58"/>
        <v>0</v>
      </c>
      <c r="BW113" s="309">
        <f t="shared" si="58"/>
        <v>0</v>
      </c>
      <c r="BX113" s="309">
        <f t="shared" si="58"/>
        <v>0</v>
      </c>
    </row>
    <row r="114" spans="3:76" outlineLevel="1">
      <c r="C114" s="308" t="s">
        <v>274</v>
      </c>
      <c r="D114" s="317"/>
      <c r="E114" s="309"/>
      <c r="F114" s="309"/>
      <c r="G114" s="309"/>
      <c r="H114" s="309"/>
      <c r="I114" s="309"/>
      <c r="J114" s="309"/>
      <c r="K114" s="309"/>
      <c r="L114" s="309"/>
      <c r="M114" s="309"/>
      <c r="N114" s="309"/>
      <c r="O114" s="309"/>
      <c r="P114" s="309"/>
      <c r="Q114" s="309"/>
      <c r="R114" s="309"/>
      <c r="S114" s="309"/>
      <c r="T114" s="309"/>
      <c r="U114" s="309"/>
      <c r="V114" s="309"/>
      <c r="W114" s="309"/>
      <c r="X114" s="309"/>
      <c r="Y114" s="309"/>
      <c r="Z114" s="309"/>
      <c r="AA114" s="309"/>
      <c r="AB114" s="309"/>
      <c r="AC114" s="309"/>
      <c r="AD114" s="309"/>
      <c r="AE114" s="309"/>
      <c r="AF114" s="309"/>
      <c r="AG114" s="309"/>
      <c r="AH114" s="309"/>
      <c r="AI114" s="309"/>
      <c r="AJ114" s="309"/>
      <c r="AK114" s="309"/>
      <c r="AL114" s="309"/>
      <c r="AM114" s="309"/>
      <c r="AN114" s="309"/>
      <c r="AO114" s="309"/>
      <c r="AP114" s="309"/>
      <c r="AQ114" s="309"/>
      <c r="AR114" s="309"/>
      <c r="AS114" s="309"/>
      <c r="AT114" s="309"/>
      <c r="AU114" s="309"/>
      <c r="AV114" s="309"/>
      <c r="AW114" s="309"/>
      <c r="AX114" s="309"/>
      <c r="AY114" s="309"/>
      <c r="AZ114" s="309"/>
      <c r="BA114" s="309"/>
      <c r="BB114" s="309"/>
      <c r="BC114" s="309"/>
      <c r="BD114" s="309"/>
      <c r="BE114" s="309"/>
      <c r="BF114" s="309"/>
      <c r="BG114" s="309"/>
      <c r="BH114" s="309"/>
      <c r="BI114" s="309"/>
      <c r="BJ114" s="309"/>
      <c r="BK114" s="309"/>
      <c r="BL114" s="309"/>
      <c r="BM114" s="309"/>
      <c r="BN114" s="309"/>
      <c r="BO114" s="309"/>
      <c r="BP114" s="309"/>
      <c r="BQ114" s="309"/>
      <c r="BR114" s="309"/>
      <c r="BS114" s="309"/>
      <c r="BT114" s="309"/>
      <c r="BU114" s="309"/>
      <c r="BV114" s="309"/>
      <c r="BW114" s="309"/>
      <c r="BX114" s="309"/>
    </row>
    <row r="115" spans="3:76" outlineLevel="1">
      <c r="C115" s="308" t="s">
        <v>265</v>
      </c>
      <c r="D115" s="317"/>
      <c r="E115" s="309">
        <f t="shared" ref="E115:BX115" si="59">-E56</f>
        <v>0</v>
      </c>
      <c r="F115" s="309">
        <f t="shared" si="59"/>
        <v>0</v>
      </c>
      <c r="G115" s="309">
        <f t="shared" si="59"/>
        <v>0</v>
      </c>
      <c r="H115" s="309">
        <f t="shared" si="59"/>
        <v>0</v>
      </c>
      <c r="I115" s="309">
        <f t="shared" si="59"/>
        <v>0</v>
      </c>
      <c r="J115" s="309">
        <f t="shared" si="59"/>
        <v>0</v>
      </c>
      <c r="K115" s="309">
        <f t="shared" si="59"/>
        <v>0</v>
      </c>
      <c r="L115" s="309">
        <f t="shared" si="59"/>
        <v>0</v>
      </c>
      <c r="M115" s="309">
        <f t="shared" si="59"/>
        <v>0</v>
      </c>
      <c r="N115" s="309">
        <f t="shared" si="59"/>
        <v>0</v>
      </c>
      <c r="O115" s="309">
        <f t="shared" si="59"/>
        <v>0</v>
      </c>
      <c r="P115" s="309">
        <f t="shared" si="59"/>
        <v>0</v>
      </c>
      <c r="Q115" s="309">
        <f t="shared" si="59"/>
        <v>0</v>
      </c>
      <c r="R115" s="309">
        <f t="shared" si="59"/>
        <v>0</v>
      </c>
      <c r="S115" s="309">
        <f t="shared" si="59"/>
        <v>0</v>
      </c>
      <c r="T115" s="309">
        <f t="shared" si="59"/>
        <v>0</v>
      </c>
      <c r="U115" s="309">
        <f t="shared" si="59"/>
        <v>0</v>
      </c>
      <c r="V115" s="309">
        <f t="shared" si="59"/>
        <v>0</v>
      </c>
      <c r="W115" s="309">
        <f t="shared" si="59"/>
        <v>0</v>
      </c>
      <c r="X115" s="309">
        <f t="shared" si="59"/>
        <v>0</v>
      </c>
      <c r="Y115" s="309">
        <f t="shared" si="59"/>
        <v>0</v>
      </c>
      <c r="Z115" s="309">
        <f t="shared" si="59"/>
        <v>0</v>
      </c>
      <c r="AA115" s="309">
        <f t="shared" si="59"/>
        <v>0</v>
      </c>
      <c r="AB115" s="309">
        <f t="shared" si="59"/>
        <v>0</v>
      </c>
      <c r="AC115" s="309">
        <f t="shared" si="59"/>
        <v>0</v>
      </c>
      <c r="AD115" s="309">
        <f t="shared" si="59"/>
        <v>0</v>
      </c>
      <c r="AE115" s="309">
        <f t="shared" si="59"/>
        <v>0</v>
      </c>
      <c r="AF115" s="309">
        <f t="shared" si="59"/>
        <v>0</v>
      </c>
      <c r="AG115" s="309">
        <f t="shared" si="59"/>
        <v>0</v>
      </c>
      <c r="AH115" s="309">
        <f t="shared" si="59"/>
        <v>0</v>
      </c>
      <c r="AI115" s="309">
        <f t="shared" si="59"/>
        <v>0</v>
      </c>
      <c r="AJ115" s="309">
        <f t="shared" si="59"/>
        <v>0</v>
      </c>
      <c r="AK115" s="309">
        <f t="shared" si="59"/>
        <v>0</v>
      </c>
      <c r="AL115" s="309">
        <f t="shared" si="59"/>
        <v>0</v>
      </c>
      <c r="AM115" s="309">
        <f t="shared" si="59"/>
        <v>0</v>
      </c>
      <c r="AN115" s="309">
        <f t="shared" si="59"/>
        <v>0</v>
      </c>
      <c r="AO115" s="309">
        <f t="shared" si="59"/>
        <v>3566220.0200000014</v>
      </c>
      <c r="AP115" s="309">
        <f t="shared" si="59"/>
        <v>0</v>
      </c>
      <c r="AQ115" s="309">
        <f t="shared" si="59"/>
        <v>0</v>
      </c>
      <c r="AR115" s="309">
        <f t="shared" si="59"/>
        <v>0</v>
      </c>
      <c r="AS115" s="309">
        <f t="shared" si="59"/>
        <v>0</v>
      </c>
      <c r="AT115" s="309">
        <f t="shared" si="59"/>
        <v>0</v>
      </c>
      <c r="AU115" s="309">
        <f t="shared" si="59"/>
        <v>0</v>
      </c>
      <c r="AV115" s="309">
        <f t="shared" si="59"/>
        <v>0</v>
      </c>
      <c r="AW115" s="309">
        <f t="shared" si="59"/>
        <v>0</v>
      </c>
      <c r="AX115" s="309">
        <f t="shared" si="59"/>
        <v>0</v>
      </c>
      <c r="AY115" s="309">
        <f t="shared" si="59"/>
        <v>0</v>
      </c>
      <c r="AZ115" s="309">
        <f t="shared" si="59"/>
        <v>0</v>
      </c>
      <c r="BA115" s="309">
        <f t="shared" si="59"/>
        <v>0</v>
      </c>
      <c r="BB115" s="309">
        <f t="shared" si="59"/>
        <v>0</v>
      </c>
      <c r="BC115" s="309">
        <f t="shared" si="59"/>
        <v>0</v>
      </c>
      <c r="BD115" s="309">
        <f t="shared" si="59"/>
        <v>0</v>
      </c>
      <c r="BE115" s="309">
        <f t="shared" si="59"/>
        <v>0</v>
      </c>
      <c r="BF115" s="309">
        <f t="shared" si="59"/>
        <v>0</v>
      </c>
      <c r="BG115" s="309">
        <f t="shared" si="59"/>
        <v>0</v>
      </c>
      <c r="BH115" s="309">
        <f t="shared" si="59"/>
        <v>0</v>
      </c>
      <c r="BI115" s="309">
        <f t="shared" si="59"/>
        <v>0</v>
      </c>
      <c r="BJ115" s="309">
        <f t="shared" si="59"/>
        <v>0</v>
      </c>
      <c r="BK115" s="309">
        <f t="shared" si="59"/>
        <v>0</v>
      </c>
      <c r="BL115" s="309">
        <f t="shared" si="59"/>
        <v>0</v>
      </c>
      <c r="BM115" s="309">
        <f t="shared" si="59"/>
        <v>0</v>
      </c>
      <c r="BN115" s="309">
        <f t="shared" si="59"/>
        <v>0</v>
      </c>
      <c r="BO115" s="309">
        <f t="shared" si="59"/>
        <v>0</v>
      </c>
      <c r="BP115" s="309">
        <f t="shared" si="59"/>
        <v>0</v>
      </c>
      <c r="BQ115" s="309">
        <f t="shared" si="59"/>
        <v>0</v>
      </c>
      <c r="BR115" s="309">
        <f t="shared" si="59"/>
        <v>0</v>
      </c>
      <c r="BS115" s="309">
        <f t="shared" si="59"/>
        <v>0</v>
      </c>
      <c r="BT115" s="309">
        <f t="shared" si="59"/>
        <v>0</v>
      </c>
      <c r="BU115" s="309">
        <f t="shared" si="59"/>
        <v>0</v>
      </c>
      <c r="BV115" s="309">
        <f t="shared" si="59"/>
        <v>0</v>
      </c>
      <c r="BW115" s="309">
        <f t="shared" si="59"/>
        <v>0</v>
      </c>
      <c r="BX115" s="309">
        <f t="shared" si="59"/>
        <v>0</v>
      </c>
    </row>
    <row r="116" spans="3:76" outlineLevel="1">
      <c r="C116" s="308" t="s">
        <v>266</v>
      </c>
      <c r="D116" s="317"/>
      <c r="E116" s="309"/>
      <c r="F116" s="309"/>
      <c r="G116" s="309"/>
      <c r="H116" s="309"/>
      <c r="I116" s="309"/>
      <c r="J116" s="309"/>
      <c r="K116" s="309"/>
      <c r="L116" s="309"/>
      <c r="M116" s="309"/>
      <c r="N116" s="309"/>
      <c r="O116" s="309"/>
      <c r="P116" s="309"/>
      <c r="Q116" s="309"/>
      <c r="R116" s="309"/>
      <c r="S116" s="309"/>
      <c r="T116" s="309"/>
      <c r="U116" s="309"/>
      <c r="V116" s="309"/>
      <c r="W116" s="309"/>
      <c r="X116" s="309"/>
      <c r="Y116" s="309"/>
      <c r="Z116" s="309"/>
      <c r="AA116" s="309"/>
      <c r="AB116" s="309"/>
      <c r="AC116" s="309"/>
      <c r="AD116" s="309"/>
      <c r="AE116" s="309"/>
      <c r="AF116" s="309"/>
      <c r="AG116" s="309"/>
      <c r="AH116" s="309"/>
      <c r="AI116" s="309"/>
      <c r="AJ116" s="309"/>
      <c r="AK116" s="309"/>
      <c r="AL116" s="309"/>
      <c r="AM116" s="309"/>
      <c r="AN116" s="309"/>
      <c r="AO116" s="309"/>
      <c r="AP116" s="309"/>
      <c r="AQ116" s="309"/>
      <c r="AR116" s="309"/>
      <c r="AS116" s="309"/>
      <c r="AT116" s="309"/>
      <c r="AU116" s="309"/>
      <c r="AV116" s="309"/>
      <c r="AW116" s="309"/>
      <c r="AX116" s="309"/>
      <c r="AY116" s="309"/>
      <c r="AZ116" s="309"/>
      <c r="BA116" s="309"/>
      <c r="BB116" s="309"/>
      <c r="BC116" s="309"/>
      <c r="BD116" s="309"/>
      <c r="BE116" s="309"/>
      <c r="BF116" s="309"/>
      <c r="BG116" s="309"/>
      <c r="BH116" s="309"/>
      <c r="BI116" s="309"/>
      <c r="BJ116" s="309"/>
      <c r="BK116" s="309"/>
      <c r="BL116" s="309"/>
      <c r="BM116" s="309"/>
      <c r="BN116" s="309"/>
      <c r="BO116" s="309"/>
      <c r="BP116" s="309"/>
      <c r="BQ116" s="309"/>
      <c r="BR116" s="309"/>
      <c r="BS116" s="309"/>
      <c r="BT116" s="309"/>
      <c r="BU116" s="309"/>
      <c r="BV116" s="309"/>
      <c r="BW116" s="309"/>
      <c r="BX116" s="309">
        <f>IF(D90&gt;0.25,(BX84-BX93)*D117,BX84*D117)</f>
        <v>13032352.07467589</v>
      </c>
    </row>
    <row r="117" spans="3:76" outlineLevel="1">
      <c r="C117" s="311" t="s">
        <v>267</v>
      </c>
      <c r="D117" s="317">
        <f>1-D102</f>
        <v>0.8</v>
      </c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0"/>
      <c r="Y117" s="250"/>
      <c r="Z117" s="250"/>
      <c r="AA117" s="250"/>
      <c r="AB117" s="250"/>
      <c r="AC117" s="250"/>
      <c r="AD117" s="250"/>
      <c r="AE117" s="250"/>
      <c r="AF117" s="250"/>
      <c r="AG117" s="250"/>
      <c r="AH117" s="250"/>
      <c r="AI117" s="250"/>
      <c r="AJ117" s="250"/>
      <c r="AK117" s="250"/>
      <c r="AL117" s="250"/>
      <c r="AM117" s="250"/>
      <c r="AN117" s="250"/>
      <c r="AO117" s="250">
        <f>AO84*$D$117</f>
        <v>16290440.093344862</v>
      </c>
      <c r="AP117" s="250"/>
      <c r="AQ117" s="250"/>
      <c r="AR117" s="250"/>
      <c r="AS117" s="250"/>
      <c r="AT117" s="250"/>
      <c r="AU117" s="250"/>
      <c r="AV117" s="250"/>
      <c r="AW117" s="250"/>
      <c r="AX117" s="250"/>
      <c r="AY117" s="250"/>
      <c r="AZ117" s="250"/>
      <c r="BA117" s="250"/>
      <c r="BB117" s="250"/>
      <c r="BC117" s="250"/>
      <c r="BD117" s="250"/>
      <c r="BE117" s="250"/>
      <c r="BF117" s="250"/>
      <c r="BG117" s="250"/>
      <c r="BH117" s="250"/>
      <c r="BI117" s="250"/>
      <c r="BJ117" s="250"/>
      <c r="BK117" s="250"/>
      <c r="BL117" s="250"/>
      <c r="BM117" s="250"/>
      <c r="BN117" s="250"/>
      <c r="BO117" s="250"/>
      <c r="BP117" s="250"/>
      <c r="BQ117" s="250"/>
      <c r="BR117" s="250"/>
      <c r="BS117" s="250"/>
      <c r="BT117" s="250"/>
      <c r="BU117" s="250"/>
      <c r="BV117" s="250"/>
      <c r="BW117" s="250"/>
      <c r="BX117" s="250"/>
    </row>
    <row r="118" spans="3:76" outlineLevel="1">
      <c r="C118" s="308" t="s">
        <v>268</v>
      </c>
      <c r="D118" s="309"/>
      <c r="E118" s="319">
        <f t="shared" ref="E118:BX118" si="60">E113+E114+E115+E116+E117</f>
        <v>0</v>
      </c>
      <c r="F118" s="319">
        <f t="shared" si="60"/>
        <v>0</v>
      </c>
      <c r="G118" s="319">
        <f t="shared" si="60"/>
        <v>0</v>
      </c>
      <c r="H118" s="319">
        <f t="shared" si="60"/>
        <v>0</v>
      </c>
      <c r="I118" s="319">
        <f t="shared" si="60"/>
        <v>0</v>
      </c>
      <c r="J118" s="319">
        <f t="shared" si="60"/>
        <v>0</v>
      </c>
      <c r="K118" s="319">
        <f t="shared" si="60"/>
        <v>0</v>
      </c>
      <c r="L118" s="319">
        <f t="shared" si="60"/>
        <v>0</v>
      </c>
      <c r="M118" s="319">
        <f t="shared" si="60"/>
        <v>0</v>
      </c>
      <c r="N118" s="319">
        <f t="shared" si="60"/>
        <v>0</v>
      </c>
      <c r="O118" s="319">
        <f t="shared" si="60"/>
        <v>0</v>
      </c>
      <c r="P118" s="319">
        <f t="shared" si="60"/>
        <v>-3994008</v>
      </c>
      <c r="Q118" s="319">
        <f t="shared" si="60"/>
        <v>0</v>
      </c>
      <c r="R118" s="319">
        <f t="shared" si="60"/>
        <v>0</v>
      </c>
      <c r="S118" s="319">
        <f t="shared" si="60"/>
        <v>0</v>
      </c>
      <c r="T118" s="319">
        <f t="shared" si="60"/>
        <v>-560000</v>
      </c>
      <c r="U118" s="319">
        <f t="shared" si="60"/>
        <v>-3083694</v>
      </c>
      <c r="V118" s="319">
        <f t="shared" si="60"/>
        <v>0</v>
      </c>
      <c r="W118" s="319">
        <f t="shared" si="60"/>
        <v>0</v>
      </c>
      <c r="X118" s="319">
        <f t="shared" si="60"/>
        <v>0</v>
      </c>
      <c r="Y118" s="319">
        <f t="shared" si="60"/>
        <v>0</v>
      </c>
      <c r="Z118" s="319">
        <f t="shared" si="60"/>
        <v>0</v>
      </c>
      <c r="AA118" s="319">
        <f t="shared" si="60"/>
        <v>0</v>
      </c>
      <c r="AB118" s="319">
        <f t="shared" si="60"/>
        <v>-400000</v>
      </c>
      <c r="AC118" s="319">
        <f t="shared" si="60"/>
        <v>-1000000</v>
      </c>
      <c r="AD118" s="319">
        <f t="shared" si="60"/>
        <v>0</v>
      </c>
      <c r="AE118" s="319">
        <f t="shared" si="60"/>
        <v>0</v>
      </c>
      <c r="AF118" s="319">
        <f t="shared" si="60"/>
        <v>0</v>
      </c>
      <c r="AG118" s="319">
        <f t="shared" si="60"/>
        <v>-7080000</v>
      </c>
      <c r="AH118" s="319">
        <f t="shared" si="60"/>
        <v>-7400000</v>
      </c>
      <c r="AI118" s="319">
        <f t="shared" si="60"/>
        <v>-3080000</v>
      </c>
      <c r="AJ118" s="319">
        <f t="shared" si="60"/>
        <v>0</v>
      </c>
      <c r="AK118" s="319">
        <f t="shared" si="60"/>
        <v>0</v>
      </c>
      <c r="AL118" s="319">
        <f t="shared" si="60"/>
        <v>0</v>
      </c>
      <c r="AM118" s="319">
        <f t="shared" si="60"/>
        <v>0</v>
      </c>
      <c r="AN118" s="319">
        <f t="shared" si="60"/>
        <v>0</v>
      </c>
      <c r="AO118" s="319">
        <f t="shared" si="60"/>
        <v>46454362.113344863</v>
      </c>
      <c r="AP118" s="319">
        <f t="shared" si="60"/>
        <v>0</v>
      </c>
      <c r="AQ118" s="319">
        <f t="shared" si="60"/>
        <v>0</v>
      </c>
      <c r="AR118" s="319">
        <f t="shared" si="60"/>
        <v>0</v>
      </c>
      <c r="AS118" s="319">
        <f t="shared" si="60"/>
        <v>0</v>
      </c>
      <c r="AT118" s="319">
        <f t="shared" si="60"/>
        <v>0</v>
      </c>
      <c r="AU118" s="319">
        <f t="shared" si="60"/>
        <v>0</v>
      </c>
      <c r="AV118" s="319">
        <f t="shared" si="60"/>
        <v>0</v>
      </c>
      <c r="AW118" s="319">
        <f t="shared" si="60"/>
        <v>0</v>
      </c>
      <c r="AX118" s="319">
        <f t="shared" si="60"/>
        <v>0</v>
      </c>
      <c r="AY118" s="319">
        <f t="shared" si="60"/>
        <v>0</v>
      </c>
      <c r="AZ118" s="319">
        <f t="shared" si="60"/>
        <v>0</v>
      </c>
      <c r="BA118" s="319">
        <f t="shared" si="60"/>
        <v>0</v>
      </c>
      <c r="BB118" s="319">
        <f t="shared" si="60"/>
        <v>0</v>
      </c>
      <c r="BC118" s="319">
        <f t="shared" si="60"/>
        <v>0</v>
      </c>
      <c r="BD118" s="319">
        <f t="shared" si="60"/>
        <v>0</v>
      </c>
      <c r="BE118" s="319">
        <f t="shared" si="60"/>
        <v>0</v>
      </c>
      <c r="BF118" s="319">
        <f t="shared" si="60"/>
        <v>0</v>
      </c>
      <c r="BG118" s="319">
        <f t="shared" si="60"/>
        <v>0</v>
      </c>
      <c r="BH118" s="319">
        <f t="shared" si="60"/>
        <v>0</v>
      </c>
      <c r="BI118" s="319">
        <f t="shared" si="60"/>
        <v>0</v>
      </c>
      <c r="BJ118" s="319">
        <f t="shared" si="60"/>
        <v>0</v>
      </c>
      <c r="BK118" s="319">
        <f t="shared" si="60"/>
        <v>0</v>
      </c>
      <c r="BL118" s="319">
        <f t="shared" si="60"/>
        <v>0</v>
      </c>
      <c r="BM118" s="319">
        <f t="shared" si="60"/>
        <v>0</v>
      </c>
      <c r="BN118" s="319">
        <f t="shared" si="60"/>
        <v>0</v>
      </c>
      <c r="BO118" s="319">
        <f t="shared" si="60"/>
        <v>0</v>
      </c>
      <c r="BP118" s="319">
        <f t="shared" si="60"/>
        <v>0</v>
      </c>
      <c r="BQ118" s="319">
        <f t="shared" si="60"/>
        <v>0</v>
      </c>
      <c r="BR118" s="319">
        <f t="shared" si="60"/>
        <v>0</v>
      </c>
      <c r="BS118" s="319">
        <f t="shared" si="60"/>
        <v>0</v>
      </c>
      <c r="BT118" s="319">
        <f t="shared" si="60"/>
        <v>0</v>
      </c>
      <c r="BU118" s="319">
        <f t="shared" si="60"/>
        <v>0</v>
      </c>
      <c r="BV118" s="319">
        <f t="shared" si="60"/>
        <v>0</v>
      </c>
      <c r="BW118" s="319">
        <f t="shared" si="60"/>
        <v>0</v>
      </c>
      <c r="BX118" s="319">
        <f t="shared" si="60"/>
        <v>13032352.07467589</v>
      </c>
    </row>
    <row r="119" spans="3:76" outlineLevel="1">
      <c r="C119" s="312"/>
      <c r="D119" s="322" t="s">
        <v>275</v>
      </c>
      <c r="E119" s="321">
        <f>E118</f>
        <v>0</v>
      </c>
      <c r="F119" s="321">
        <f t="shared" ref="F119:BX119" si="61">E119+F118</f>
        <v>0</v>
      </c>
      <c r="G119" s="321">
        <f t="shared" si="61"/>
        <v>0</v>
      </c>
      <c r="H119" s="321">
        <f t="shared" si="61"/>
        <v>0</v>
      </c>
      <c r="I119" s="321">
        <f t="shared" si="61"/>
        <v>0</v>
      </c>
      <c r="J119" s="321">
        <f t="shared" si="61"/>
        <v>0</v>
      </c>
      <c r="K119" s="321">
        <f t="shared" si="61"/>
        <v>0</v>
      </c>
      <c r="L119" s="321">
        <f t="shared" si="61"/>
        <v>0</v>
      </c>
      <c r="M119" s="321">
        <f t="shared" si="61"/>
        <v>0</v>
      </c>
      <c r="N119" s="321">
        <f t="shared" si="61"/>
        <v>0</v>
      </c>
      <c r="O119" s="321">
        <f t="shared" si="61"/>
        <v>0</v>
      </c>
      <c r="P119" s="321">
        <f t="shared" si="61"/>
        <v>-3994008</v>
      </c>
      <c r="Q119" s="321">
        <f t="shared" si="61"/>
        <v>-3994008</v>
      </c>
      <c r="R119" s="321">
        <f t="shared" si="61"/>
        <v>-3994008</v>
      </c>
      <c r="S119" s="321">
        <f t="shared" si="61"/>
        <v>-3994008</v>
      </c>
      <c r="T119" s="321">
        <f t="shared" si="61"/>
        <v>-4554008</v>
      </c>
      <c r="U119" s="321">
        <f t="shared" si="61"/>
        <v>-7637702</v>
      </c>
      <c r="V119" s="321">
        <f t="shared" si="61"/>
        <v>-7637702</v>
      </c>
      <c r="W119" s="321">
        <f t="shared" si="61"/>
        <v>-7637702</v>
      </c>
      <c r="X119" s="321">
        <f t="shared" si="61"/>
        <v>-7637702</v>
      </c>
      <c r="Y119" s="321">
        <f t="shared" si="61"/>
        <v>-7637702</v>
      </c>
      <c r="Z119" s="321">
        <f t="shared" si="61"/>
        <v>-7637702</v>
      </c>
      <c r="AA119" s="321">
        <f t="shared" si="61"/>
        <v>-7637702</v>
      </c>
      <c r="AB119" s="321">
        <f t="shared" si="61"/>
        <v>-8037702</v>
      </c>
      <c r="AC119" s="321">
        <f t="shared" si="61"/>
        <v>-9037702</v>
      </c>
      <c r="AD119" s="321">
        <f t="shared" si="61"/>
        <v>-9037702</v>
      </c>
      <c r="AE119" s="321">
        <f t="shared" si="61"/>
        <v>-9037702</v>
      </c>
      <c r="AF119" s="321">
        <f t="shared" si="61"/>
        <v>-9037702</v>
      </c>
      <c r="AG119" s="321">
        <f t="shared" si="61"/>
        <v>-16117702</v>
      </c>
      <c r="AH119" s="321">
        <f t="shared" si="61"/>
        <v>-23517702</v>
      </c>
      <c r="AI119" s="321">
        <f t="shared" si="61"/>
        <v>-26597702</v>
      </c>
      <c r="AJ119" s="321">
        <f t="shared" si="61"/>
        <v>-26597702</v>
      </c>
      <c r="AK119" s="321">
        <f t="shared" si="61"/>
        <v>-26597702</v>
      </c>
      <c r="AL119" s="321">
        <f t="shared" si="61"/>
        <v>-26597702</v>
      </c>
      <c r="AM119" s="321">
        <f t="shared" si="61"/>
        <v>-26597702</v>
      </c>
      <c r="AN119" s="321">
        <f t="shared" si="61"/>
        <v>-26597702</v>
      </c>
      <c r="AO119" s="321">
        <f t="shared" si="61"/>
        <v>19856660.113344863</v>
      </c>
      <c r="AP119" s="321">
        <f t="shared" si="61"/>
        <v>19856660.113344863</v>
      </c>
      <c r="AQ119" s="321">
        <f t="shared" si="61"/>
        <v>19856660.113344863</v>
      </c>
      <c r="AR119" s="321">
        <f t="shared" si="61"/>
        <v>19856660.113344863</v>
      </c>
      <c r="AS119" s="321">
        <f t="shared" si="61"/>
        <v>19856660.113344863</v>
      </c>
      <c r="AT119" s="321">
        <f t="shared" si="61"/>
        <v>19856660.113344863</v>
      </c>
      <c r="AU119" s="321">
        <f t="shared" si="61"/>
        <v>19856660.113344863</v>
      </c>
      <c r="AV119" s="321">
        <f t="shared" si="61"/>
        <v>19856660.113344863</v>
      </c>
      <c r="AW119" s="321">
        <f t="shared" si="61"/>
        <v>19856660.113344863</v>
      </c>
      <c r="AX119" s="321">
        <f t="shared" si="61"/>
        <v>19856660.113344863</v>
      </c>
      <c r="AY119" s="321">
        <f t="shared" si="61"/>
        <v>19856660.113344863</v>
      </c>
      <c r="AZ119" s="321">
        <f t="shared" si="61"/>
        <v>19856660.113344863</v>
      </c>
      <c r="BA119" s="321">
        <f t="shared" si="61"/>
        <v>19856660.113344863</v>
      </c>
      <c r="BB119" s="321">
        <f t="shared" si="61"/>
        <v>19856660.113344863</v>
      </c>
      <c r="BC119" s="321">
        <f t="shared" si="61"/>
        <v>19856660.113344863</v>
      </c>
      <c r="BD119" s="321">
        <f t="shared" si="61"/>
        <v>19856660.113344863</v>
      </c>
      <c r="BE119" s="321">
        <f t="shared" si="61"/>
        <v>19856660.113344863</v>
      </c>
      <c r="BF119" s="321">
        <f t="shared" si="61"/>
        <v>19856660.113344863</v>
      </c>
      <c r="BG119" s="321">
        <f t="shared" si="61"/>
        <v>19856660.113344863</v>
      </c>
      <c r="BH119" s="321">
        <f t="shared" si="61"/>
        <v>19856660.113344863</v>
      </c>
      <c r="BI119" s="321">
        <f t="shared" si="61"/>
        <v>19856660.113344863</v>
      </c>
      <c r="BJ119" s="321">
        <f t="shared" si="61"/>
        <v>19856660.113344863</v>
      </c>
      <c r="BK119" s="321">
        <f t="shared" si="61"/>
        <v>19856660.113344863</v>
      </c>
      <c r="BL119" s="321">
        <f t="shared" si="61"/>
        <v>19856660.113344863</v>
      </c>
      <c r="BM119" s="321">
        <f t="shared" si="61"/>
        <v>19856660.113344863</v>
      </c>
      <c r="BN119" s="321">
        <f t="shared" si="61"/>
        <v>19856660.113344863</v>
      </c>
      <c r="BO119" s="321">
        <f t="shared" si="61"/>
        <v>19856660.113344863</v>
      </c>
      <c r="BP119" s="321">
        <f t="shared" si="61"/>
        <v>19856660.113344863</v>
      </c>
      <c r="BQ119" s="321">
        <f t="shared" si="61"/>
        <v>19856660.113344863</v>
      </c>
      <c r="BR119" s="321">
        <f t="shared" si="61"/>
        <v>19856660.113344863</v>
      </c>
      <c r="BS119" s="321">
        <f t="shared" si="61"/>
        <v>19856660.113344863</v>
      </c>
      <c r="BT119" s="321">
        <f t="shared" si="61"/>
        <v>19856660.113344863</v>
      </c>
      <c r="BU119" s="321">
        <f t="shared" si="61"/>
        <v>19856660.113344863</v>
      </c>
      <c r="BV119" s="321">
        <f t="shared" si="61"/>
        <v>19856660.113344863</v>
      </c>
      <c r="BW119" s="321">
        <f t="shared" si="61"/>
        <v>19856660.113344863</v>
      </c>
      <c r="BX119" s="321">
        <f t="shared" si="61"/>
        <v>32889012.188020751</v>
      </c>
    </row>
    <row r="120" spans="3:76" outlineLevel="1">
      <c r="C120" s="311" t="s">
        <v>261</v>
      </c>
      <c r="D120" s="322">
        <f>IRR(L118:AO118)*12</f>
        <v>0.52230147376379676</v>
      </c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  <c r="AJ120" s="229"/>
      <c r="AK120" s="229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29"/>
      <c r="BN120" s="229"/>
      <c r="BO120" s="229"/>
      <c r="BP120" s="229"/>
      <c r="BQ120" s="229"/>
      <c r="BR120" s="229"/>
      <c r="BS120" s="229"/>
      <c r="BT120" s="229"/>
      <c r="BU120" s="229"/>
      <c r="BV120" s="229"/>
      <c r="BW120" s="229"/>
      <c r="BX120" s="229"/>
    </row>
    <row r="121" spans="3:76" outlineLevel="1">
      <c r="C121" s="323" t="s">
        <v>269</v>
      </c>
      <c r="D121" s="324">
        <f>-MIN(E119:BL119)</f>
        <v>26597702</v>
      </c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  <c r="AQ121" s="229"/>
      <c r="AR121" s="229"/>
      <c r="AS121" s="229"/>
      <c r="AT121" s="229"/>
      <c r="AU121" s="229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29"/>
      <c r="BF121" s="229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29"/>
      <c r="BQ121" s="229"/>
      <c r="BR121" s="229"/>
      <c r="BS121" s="229"/>
      <c r="BT121" s="229"/>
      <c r="BU121" s="229"/>
      <c r="BV121" s="229"/>
      <c r="BW121" s="229"/>
      <c r="BX121" s="229"/>
    </row>
    <row r="122" spans="3:76" outlineLevel="1">
      <c r="C122" s="323" t="s">
        <v>276</v>
      </c>
      <c r="D122" s="324"/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29"/>
      <c r="AK122" s="229"/>
      <c r="AL122" s="229"/>
      <c r="AM122" s="229"/>
      <c r="AN122" s="229"/>
      <c r="AO122" s="229"/>
      <c r="AP122" s="229"/>
      <c r="AQ122" s="229"/>
      <c r="AR122" s="229"/>
      <c r="AS122" s="229"/>
      <c r="AT122" s="229"/>
      <c r="AU122" s="229"/>
      <c r="AV122" s="229"/>
      <c r="AW122" s="229"/>
      <c r="AX122" s="229"/>
      <c r="AY122" s="229"/>
      <c r="AZ122" s="229"/>
      <c r="BA122" s="229"/>
      <c r="BB122" s="229"/>
      <c r="BC122" s="229"/>
      <c r="BD122" s="229"/>
      <c r="BE122" s="229"/>
      <c r="BF122" s="229"/>
      <c r="BG122" s="229"/>
      <c r="BH122" s="229"/>
      <c r="BI122" s="229"/>
      <c r="BJ122" s="229"/>
      <c r="BK122" s="229"/>
      <c r="BL122" s="229"/>
      <c r="BM122" s="229"/>
      <c r="BN122" s="229"/>
      <c r="BO122" s="229"/>
      <c r="BP122" s="229"/>
      <c r="BQ122" s="229"/>
      <c r="BR122" s="229"/>
      <c r="BS122" s="229"/>
      <c r="BT122" s="229"/>
      <c r="BU122" s="229"/>
      <c r="BV122" s="229"/>
      <c r="BW122" s="229"/>
      <c r="BX122" s="229"/>
    </row>
    <row r="123" spans="3:76" outlineLevel="1">
      <c r="C123" s="311" t="s">
        <v>270</v>
      </c>
      <c r="D123" s="325">
        <f>D122+D121</f>
        <v>26597702</v>
      </c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  <c r="AG123" s="229"/>
      <c r="AH123" s="229"/>
      <c r="AI123" s="229"/>
      <c r="AJ123" s="229"/>
      <c r="AK123" s="229"/>
      <c r="AL123" s="229"/>
      <c r="AM123" s="229"/>
      <c r="AN123" s="229"/>
      <c r="AO123" s="229"/>
      <c r="AP123" s="229"/>
      <c r="AQ123" s="229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229"/>
      <c r="BD123" s="229"/>
      <c r="BE123" s="229"/>
      <c r="BF123" s="229"/>
      <c r="BG123" s="229"/>
      <c r="BH123" s="229"/>
      <c r="BI123" s="229"/>
      <c r="BJ123" s="229"/>
      <c r="BK123" s="229"/>
      <c r="BL123" s="229"/>
      <c r="BM123" s="229"/>
      <c r="BN123" s="229"/>
      <c r="BO123" s="229"/>
      <c r="BP123" s="229"/>
      <c r="BQ123" s="229"/>
      <c r="BR123" s="229"/>
      <c r="BS123" s="229"/>
      <c r="BT123" s="229"/>
      <c r="BU123" s="229"/>
      <c r="BV123" s="229"/>
      <c r="BW123" s="229"/>
      <c r="BX123" s="229"/>
    </row>
    <row r="124" spans="3:76" outlineLevel="1">
      <c r="C124" s="311" t="s">
        <v>271</v>
      </c>
      <c r="D124" s="325">
        <f>AO117-AO56</f>
        <v>19856660.113344863</v>
      </c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29"/>
      <c r="AC124" s="229"/>
      <c r="AD124" s="229"/>
      <c r="AE124" s="229"/>
      <c r="AF124" s="229"/>
      <c r="AG124" s="229"/>
      <c r="AH124" s="229"/>
      <c r="AI124" s="229"/>
      <c r="AJ124" s="229"/>
      <c r="AK124" s="229"/>
      <c r="AL124" s="229"/>
      <c r="AM124" s="229"/>
      <c r="AN124" s="229"/>
      <c r="AO124" s="229"/>
      <c r="AP124" s="229"/>
      <c r="AQ124" s="229"/>
      <c r="AR124" s="229"/>
      <c r="AS124" s="229"/>
      <c r="AT124" s="229"/>
      <c r="AU124" s="229"/>
      <c r="AV124" s="229"/>
      <c r="AW124" s="229"/>
      <c r="AX124" s="229"/>
      <c r="AY124" s="229"/>
      <c r="AZ124" s="229"/>
      <c r="BA124" s="229"/>
      <c r="BB124" s="229"/>
      <c r="BC124" s="229"/>
      <c r="BD124" s="229"/>
      <c r="BE124" s="229"/>
      <c r="BF124" s="229"/>
      <c r="BG124" s="229"/>
      <c r="BH124" s="229"/>
      <c r="BI124" s="229"/>
      <c r="BJ124" s="229"/>
      <c r="BK124" s="229"/>
      <c r="BL124" s="229"/>
      <c r="BM124" s="229"/>
      <c r="BN124" s="229"/>
      <c r="BO124" s="229"/>
      <c r="BP124" s="229"/>
      <c r="BQ124" s="229"/>
      <c r="BR124" s="229"/>
      <c r="BS124" s="229"/>
      <c r="BT124" s="229"/>
      <c r="BU124" s="229"/>
      <c r="BV124" s="229"/>
      <c r="BW124" s="229"/>
      <c r="BX124" s="229"/>
    </row>
    <row r="125" spans="3:76" outlineLevel="1">
      <c r="C125" s="311" t="s">
        <v>272</v>
      </c>
      <c r="D125" s="322">
        <f>(D124-D122)/D123</f>
        <v>0.74655547736209926</v>
      </c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29"/>
      <c r="AC125" s="229"/>
      <c r="AD125" s="229"/>
      <c r="AE125" s="229"/>
      <c r="AF125" s="229"/>
      <c r="AG125" s="229"/>
      <c r="AH125" s="229"/>
      <c r="AI125" s="229"/>
      <c r="AJ125" s="229"/>
      <c r="AK125" s="229"/>
      <c r="AL125" s="229"/>
      <c r="AM125" s="229"/>
      <c r="AN125" s="229"/>
      <c r="AO125" s="229"/>
      <c r="AP125" s="229"/>
      <c r="AQ125" s="229"/>
      <c r="AR125" s="229"/>
      <c r="AS125" s="229"/>
      <c r="AT125" s="229"/>
      <c r="AU125" s="229"/>
      <c r="AV125" s="229"/>
      <c r="AW125" s="229"/>
      <c r="AX125" s="229"/>
      <c r="AY125" s="229"/>
      <c r="AZ125" s="229"/>
      <c r="BA125" s="229"/>
      <c r="BB125" s="229"/>
      <c r="BC125" s="229"/>
      <c r="BD125" s="229"/>
      <c r="BE125" s="229"/>
      <c r="BF125" s="229"/>
      <c r="BG125" s="229"/>
      <c r="BH125" s="229"/>
      <c r="BI125" s="229"/>
      <c r="BJ125" s="229"/>
      <c r="BK125" s="229"/>
      <c r="BL125" s="229"/>
      <c r="BM125" s="229"/>
      <c r="BN125" s="229"/>
      <c r="BO125" s="229"/>
      <c r="BP125" s="229"/>
      <c r="BQ125" s="229"/>
      <c r="BR125" s="229"/>
      <c r="BS125" s="229"/>
      <c r="BT125" s="229"/>
      <c r="BU125" s="229"/>
      <c r="BV125" s="229"/>
      <c r="BW125" s="229"/>
      <c r="BX125" s="229"/>
    </row>
    <row r="129" spans="3:76">
      <c r="E129" s="229">
        <f t="shared" ref="E129:R129" si="62">E103+E118</f>
        <v>0</v>
      </c>
      <c r="F129" s="229">
        <f t="shared" si="62"/>
        <v>0</v>
      </c>
      <c r="G129" s="229">
        <f t="shared" si="62"/>
        <v>0</v>
      </c>
      <c r="H129" s="229">
        <f t="shared" si="62"/>
        <v>0</v>
      </c>
      <c r="I129" s="229">
        <f t="shared" si="62"/>
        <v>-87324</v>
      </c>
      <c r="J129" s="229">
        <f t="shared" si="62"/>
        <v>-100000</v>
      </c>
      <c r="K129" s="229">
        <f t="shared" si="62"/>
        <v>3400000</v>
      </c>
      <c r="L129" s="229">
        <f t="shared" si="62"/>
        <v>-5024500</v>
      </c>
      <c r="M129" s="229">
        <f t="shared" si="62"/>
        <v>-1000</v>
      </c>
      <c r="N129" s="229">
        <f t="shared" si="62"/>
        <v>-80000</v>
      </c>
      <c r="O129" s="229">
        <f t="shared" si="62"/>
        <v>-31000</v>
      </c>
      <c r="P129" s="229">
        <f t="shared" si="62"/>
        <v>-3994008</v>
      </c>
      <c r="Q129" s="229">
        <f t="shared" si="62"/>
        <v>2032137</v>
      </c>
      <c r="R129" s="229">
        <f t="shared" si="62"/>
        <v>0</v>
      </c>
      <c r="S129" s="229">
        <f>-SUM(E129:R129)*110.08%</f>
        <v>4277373.0559999999</v>
      </c>
      <c r="T129" s="229"/>
      <c r="U129" s="229"/>
      <c r="V129" s="229"/>
      <c r="W129" s="229"/>
      <c r="X129" s="229"/>
      <c r="Y129" s="229"/>
      <c r="Z129" s="229"/>
      <c r="AA129" s="229"/>
      <c r="AB129" s="229"/>
      <c r="AC129" s="229"/>
      <c r="AD129" s="229"/>
      <c r="AE129" s="229"/>
      <c r="AF129" s="229"/>
      <c r="AG129" s="229"/>
      <c r="AH129" s="229"/>
      <c r="AI129" s="229"/>
      <c r="AJ129" s="229"/>
      <c r="AK129" s="229"/>
      <c r="AL129" s="229"/>
      <c r="AM129" s="229"/>
      <c r="AN129" s="229"/>
      <c r="AO129" s="229"/>
      <c r="AP129" s="229"/>
      <c r="AQ129" s="229"/>
      <c r="AR129" s="229"/>
      <c r="AS129" s="229"/>
      <c r="AT129" s="229"/>
      <c r="AU129" s="229"/>
      <c r="AV129" s="229"/>
      <c r="AW129" s="229"/>
      <c r="AX129" s="229"/>
      <c r="AY129" s="229"/>
      <c r="AZ129" s="229"/>
      <c r="BA129" s="229"/>
      <c r="BB129" s="229"/>
      <c r="BC129" s="229"/>
      <c r="BD129" s="229"/>
      <c r="BE129" s="229"/>
      <c r="BF129" s="229"/>
      <c r="BG129" s="229"/>
      <c r="BH129" s="229"/>
      <c r="BI129" s="229"/>
      <c r="BJ129" s="229"/>
      <c r="BK129" s="229"/>
      <c r="BL129" s="229"/>
      <c r="BM129" s="229"/>
      <c r="BN129" s="229"/>
      <c r="BO129" s="229"/>
      <c r="BP129" s="229"/>
      <c r="BQ129" s="229"/>
      <c r="BR129" s="229"/>
      <c r="BS129" s="229"/>
      <c r="BT129" s="229"/>
      <c r="BU129" s="229"/>
      <c r="BV129" s="229"/>
      <c r="BW129" s="229"/>
      <c r="BX129" s="229"/>
    </row>
    <row r="130" spans="3:76">
      <c r="D130" s="349">
        <f>IRR(I129:S129)*12</f>
        <v>0.25005699938379333</v>
      </c>
      <c r="E130" s="229"/>
      <c r="F130" s="229"/>
      <c r="G130" s="229"/>
      <c r="H130" s="229"/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29"/>
      <c r="U130" s="229"/>
      <c r="V130" s="229"/>
      <c r="W130" s="229"/>
      <c r="X130" s="229"/>
      <c r="Y130" s="229"/>
      <c r="Z130" s="229"/>
      <c r="AA130" s="229"/>
      <c r="AB130" s="229"/>
      <c r="AC130" s="229"/>
      <c r="AD130" s="229"/>
      <c r="AE130" s="229"/>
      <c r="AF130" s="229"/>
      <c r="AG130" s="229"/>
      <c r="AH130" s="229"/>
      <c r="AI130" s="229"/>
      <c r="AJ130" s="229"/>
      <c r="AK130" s="229"/>
      <c r="AL130" s="229"/>
      <c r="AM130" s="229"/>
      <c r="AN130" s="229"/>
      <c r="AO130" s="229"/>
      <c r="AP130" s="229"/>
      <c r="AQ130" s="229"/>
      <c r="AR130" s="229"/>
      <c r="AS130" s="229"/>
      <c r="AT130" s="229"/>
      <c r="AU130" s="229"/>
      <c r="AV130" s="229"/>
      <c r="AW130" s="229"/>
      <c r="AX130" s="229"/>
      <c r="AY130" s="229"/>
      <c r="AZ130" s="229"/>
      <c r="BA130" s="229"/>
      <c r="BB130" s="229"/>
      <c r="BC130" s="229"/>
      <c r="BD130" s="229"/>
      <c r="BE130" s="229"/>
      <c r="BF130" s="229"/>
      <c r="BG130" s="229"/>
      <c r="BH130" s="229"/>
      <c r="BI130" s="229"/>
      <c r="BJ130" s="229"/>
      <c r="BK130" s="229"/>
      <c r="BL130" s="229"/>
      <c r="BM130" s="229"/>
      <c r="BN130" s="229"/>
      <c r="BO130" s="229"/>
      <c r="BP130" s="229"/>
      <c r="BQ130" s="229"/>
      <c r="BR130" s="229"/>
      <c r="BS130" s="229"/>
      <c r="BT130" s="229"/>
      <c r="BU130" s="229"/>
      <c r="BV130" s="229"/>
      <c r="BW130" s="229"/>
      <c r="BX130" s="229"/>
    </row>
    <row r="131" spans="3:76">
      <c r="E131" s="229"/>
      <c r="F131" s="229"/>
      <c r="G131" s="229"/>
      <c r="H131" s="229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  <c r="U131" s="229"/>
      <c r="V131" s="229"/>
      <c r="W131" s="229"/>
      <c r="X131" s="229"/>
      <c r="Y131" s="229"/>
      <c r="Z131" s="229"/>
      <c r="AA131" s="229"/>
      <c r="AB131" s="229"/>
      <c r="AC131" s="229"/>
      <c r="AD131" s="229"/>
      <c r="AE131" s="229"/>
      <c r="AF131" s="229"/>
      <c r="AG131" s="229"/>
      <c r="AH131" s="229"/>
      <c r="AI131" s="229"/>
      <c r="AJ131" s="229"/>
      <c r="AK131" s="229"/>
      <c r="AL131" s="229"/>
      <c r="AM131" s="229"/>
      <c r="AN131" s="229"/>
      <c r="AO131" s="229"/>
      <c r="AP131" s="229"/>
      <c r="AQ131" s="229"/>
      <c r="AR131" s="229"/>
      <c r="AS131" s="229"/>
      <c r="AT131" s="229"/>
      <c r="AU131" s="229"/>
      <c r="AV131" s="229"/>
      <c r="AW131" s="229"/>
      <c r="AX131" s="229"/>
      <c r="AY131" s="229"/>
      <c r="AZ131" s="229"/>
      <c r="BA131" s="229"/>
      <c r="BB131" s="229"/>
      <c r="BC131" s="229"/>
      <c r="BD131" s="229"/>
      <c r="BE131" s="229"/>
      <c r="BF131" s="229"/>
      <c r="BG131" s="229"/>
      <c r="BH131" s="229"/>
      <c r="BI131" s="229"/>
      <c r="BJ131" s="229"/>
      <c r="BK131" s="229"/>
      <c r="BL131" s="229"/>
      <c r="BM131" s="229"/>
      <c r="BN131" s="229"/>
      <c r="BO131" s="229"/>
      <c r="BP131" s="229"/>
      <c r="BQ131" s="229"/>
      <c r="BR131" s="229"/>
      <c r="BS131" s="229"/>
      <c r="BT131" s="229"/>
      <c r="BU131" s="229"/>
      <c r="BV131" s="229"/>
      <c r="BW131" s="229"/>
      <c r="BX131" s="229"/>
    </row>
    <row r="132" spans="3:76">
      <c r="E132" s="229">
        <f t="shared" ref="E132:R132" si="63">E103</f>
        <v>0</v>
      </c>
      <c r="F132" s="229">
        <f t="shared" si="63"/>
        <v>0</v>
      </c>
      <c r="G132" s="229">
        <f t="shared" si="63"/>
        <v>0</v>
      </c>
      <c r="H132" s="229">
        <f t="shared" si="63"/>
        <v>0</v>
      </c>
      <c r="I132" s="229">
        <f t="shared" si="63"/>
        <v>-87324</v>
      </c>
      <c r="J132" s="229">
        <f t="shared" si="63"/>
        <v>-100000</v>
      </c>
      <c r="K132" s="229">
        <f t="shared" si="63"/>
        <v>3400000</v>
      </c>
      <c r="L132" s="229">
        <f t="shared" si="63"/>
        <v>-5024500</v>
      </c>
      <c r="M132" s="229">
        <f t="shared" si="63"/>
        <v>-1000</v>
      </c>
      <c r="N132" s="229">
        <f t="shared" si="63"/>
        <v>-80000</v>
      </c>
      <c r="O132" s="229">
        <f t="shared" si="63"/>
        <v>-31000</v>
      </c>
      <c r="P132" s="229">
        <f t="shared" si="63"/>
        <v>0</v>
      </c>
      <c r="Q132" s="229">
        <f t="shared" si="63"/>
        <v>2032137</v>
      </c>
      <c r="R132" s="229">
        <f t="shared" si="63"/>
        <v>0</v>
      </c>
      <c r="S132" s="229">
        <f>SUM(E132:R132)*125%</f>
        <v>135391.25</v>
      </c>
      <c r="T132" s="229"/>
      <c r="U132" s="229"/>
      <c r="V132" s="229"/>
      <c r="W132" s="229"/>
      <c r="X132" s="229"/>
      <c r="Y132" s="229"/>
      <c r="Z132" s="229"/>
      <c r="AA132" s="229"/>
      <c r="AB132" s="229"/>
      <c r="AC132" s="229"/>
      <c r="AD132" s="229"/>
      <c r="AE132" s="229"/>
      <c r="AF132" s="229"/>
      <c r="AG132" s="229"/>
      <c r="AH132" s="229"/>
      <c r="AI132" s="229"/>
      <c r="AJ132" s="229"/>
      <c r="AK132" s="229"/>
      <c r="AL132" s="229"/>
      <c r="AM132" s="229"/>
      <c r="AN132" s="229"/>
      <c r="AO132" s="229"/>
      <c r="AP132" s="229"/>
      <c r="AQ132" s="229"/>
      <c r="AR132" s="229"/>
      <c r="AS132" s="229"/>
      <c r="AT132" s="229"/>
      <c r="AU132" s="229"/>
      <c r="AV132" s="229"/>
      <c r="AW132" s="229"/>
      <c r="AX132" s="229"/>
      <c r="AY132" s="229"/>
      <c r="AZ132" s="229"/>
      <c r="BA132" s="229"/>
      <c r="BB132" s="229"/>
      <c r="BC132" s="229"/>
      <c r="BD132" s="229"/>
      <c r="BE132" s="229"/>
      <c r="BF132" s="229"/>
      <c r="BG132" s="229"/>
      <c r="BH132" s="229"/>
      <c r="BI132" s="229"/>
      <c r="BJ132" s="229"/>
      <c r="BK132" s="229"/>
      <c r="BL132" s="229"/>
      <c r="BM132" s="229"/>
      <c r="BN132" s="229"/>
      <c r="BO132" s="229"/>
      <c r="BP132" s="229"/>
      <c r="BQ132" s="229"/>
      <c r="BR132" s="229"/>
      <c r="BS132" s="229"/>
      <c r="BT132" s="229"/>
      <c r="BU132" s="229"/>
      <c r="BV132" s="229"/>
      <c r="BW132" s="229"/>
      <c r="BX132" s="229"/>
    </row>
    <row r="133" spans="3:76">
      <c r="D133" s="349">
        <f>IRR(I132:S132)*12</f>
        <v>0.42900658831345684</v>
      </c>
      <c r="E133" s="229"/>
      <c r="F133" s="229"/>
      <c r="G133" s="229"/>
      <c r="H133" s="229"/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  <c r="U133" s="229"/>
      <c r="V133" s="229"/>
      <c r="W133" s="229"/>
      <c r="X133" s="229"/>
      <c r="Y133" s="229"/>
      <c r="Z133" s="229"/>
      <c r="AA133" s="229"/>
      <c r="AB133" s="229"/>
      <c r="AC133" s="229"/>
      <c r="AD133" s="229"/>
      <c r="AE133" s="229"/>
      <c r="AF133" s="229"/>
      <c r="AG133" s="229"/>
      <c r="AH133" s="229"/>
      <c r="AI133" s="229"/>
      <c r="AJ133" s="229"/>
      <c r="AK133" s="229"/>
      <c r="AL133" s="229"/>
      <c r="AM133" s="229"/>
      <c r="AN133" s="229"/>
      <c r="AO133" s="229"/>
      <c r="AP133" s="229"/>
      <c r="AQ133" s="229"/>
      <c r="AR133" s="229"/>
      <c r="AS133" s="229"/>
      <c r="AT133" s="229"/>
      <c r="AU133" s="229"/>
      <c r="AV133" s="229"/>
      <c r="AW133" s="229"/>
      <c r="AX133" s="229"/>
      <c r="AY133" s="229"/>
      <c r="AZ133" s="229"/>
      <c r="BA133" s="229"/>
      <c r="BB133" s="229"/>
      <c r="BC133" s="229"/>
      <c r="BD133" s="229"/>
      <c r="BE133" s="229"/>
      <c r="BF133" s="229"/>
      <c r="BG133" s="229"/>
      <c r="BH133" s="229"/>
      <c r="BI133" s="229"/>
      <c r="BJ133" s="229"/>
      <c r="BK133" s="229"/>
      <c r="BL133" s="229"/>
      <c r="BM133" s="229"/>
      <c r="BN133" s="229"/>
      <c r="BO133" s="229"/>
      <c r="BP133" s="229"/>
      <c r="BQ133" s="229"/>
      <c r="BR133" s="229"/>
      <c r="BS133" s="229"/>
      <c r="BT133" s="229"/>
      <c r="BU133" s="229"/>
      <c r="BV133" s="229"/>
      <c r="BW133" s="229"/>
      <c r="BX133" s="229"/>
    </row>
    <row r="134" spans="3:76">
      <c r="E134" s="229"/>
      <c r="F134" s="229"/>
      <c r="G134" s="229"/>
      <c r="H134" s="229"/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  <c r="U134" s="229"/>
      <c r="V134" s="229"/>
      <c r="W134" s="229"/>
      <c r="X134" s="229"/>
      <c r="Y134" s="229"/>
      <c r="Z134" s="229"/>
      <c r="AA134" s="229"/>
      <c r="AB134" s="229"/>
      <c r="AC134" s="229"/>
      <c r="AD134" s="229"/>
      <c r="AE134" s="229"/>
      <c r="AF134" s="229"/>
      <c r="AG134" s="229"/>
      <c r="AH134" s="229"/>
      <c r="AI134" s="229"/>
      <c r="AJ134" s="229"/>
      <c r="AK134" s="229"/>
      <c r="AL134" s="229"/>
      <c r="AM134" s="229"/>
      <c r="AN134" s="229"/>
      <c r="AO134" s="229"/>
      <c r="AP134" s="229"/>
      <c r="AQ134" s="229"/>
      <c r="AR134" s="229"/>
      <c r="AS134" s="229"/>
      <c r="AT134" s="229"/>
      <c r="AU134" s="229"/>
      <c r="AV134" s="229"/>
      <c r="AW134" s="229"/>
      <c r="AX134" s="229"/>
      <c r="AY134" s="229"/>
      <c r="AZ134" s="229"/>
      <c r="BA134" s="229"/>
      <c r="BB134" s="229"/>
      <c r="BC134" s="229"/>
      <c r="BD134" s="229"/>
      <c r="BE134" s="229"/>
      <c r="BF134" s="229"/>
      <c r="BG134" s="229"/>
      <c r="BH134" s="229"/>
      <c r="BI134" s="229"/>
      <c r="BJ134" s="229"/>
      <c r="BK134" s="229"/>
      <c r="BL134" s="229"/>
      <c r="BM134" s="229"/>
      <c r="BN134" s="229"/>
      <c r="BO134" s="229"/>
      <c r="BP134" s="229"/>
      <c r="BQ134" s="229"/>
      <c r="BR134" s="229"/>
      <c r="BS134" s="229"/>
      <c r="BT134" s="229"/>
      <c r="BU134" s="229"/>
      <c r="BV134" s="229"/>
      <c r="BW134" s="229"/>
      <c r="BX134" s="229"/>
    </row>
    <row r="135" spans="3:76" hidden="1" collapsed="1">
      <c r="C135" s="308" t="s">
        <v>277</v>
      </c>
      <c r="D135" s="309"/>
      <c r="E135" s="309">
        <f t="shared" ref="E135:BX135" si="64">-(E7+E76)</f>
        <v>0</v>
      </c>
      <c r="F135" s="309">
        <f t="shared" si="64"/>
        <v>0</v>
      </c>
      <c r="G135" s="309">
        <f t="shared" si="64"/>
        <v>0</v>
      </c>
      <c r="H135" s="309">
        <f t="shared" si="64"/>
        <v>0</v>
      </c>
      <c r="I135" s="309">
        <f t="shared" si="64"/>
        <v>0</v>
      </c>
      <c r="J135" s="309">
        <f t="shared" si="64"/>
        <v>0</v>
      </c>
      <c r="K135" s="309">
        <f t="shared" si="64"/>
        <v>0</v>
      </c>
      <c r="L135" s="309">
        <f t="shared" si="64"/>
        <v>0</v>
      </c>
      <c r="M135" s="309">
        <f t="shared" si="64"/>
        <v>0</v>
      </c>
      <c r="N135" s="309">
        <f t="shared" si="64"/>
        <v>0</v>
      </c>
      <c r="O135" s="309">
        <f t="shared" si="64"/>
        <v>0</v>
      </c>
      <c r="P135" s="309">
        <f t="shared" si="64"/>
        <v>0</v>
      </c>
      <c r="Q135" s="309">
        <f t="shared" si="64"/>
        <v>0</v>
      </c>
      <c r="R135" s="309">
        <f t="shared" si="64"/>
        <v>0</v>
      </c>
      <c r="S135" s="309">
        <f t="shared" si="64"/>
        <v>0</v>
      </c>
      <c r="T135" s="309">
        <f t="shared" si="64"/>
        <v>0</v>
      </c>
      <c r="U135" s="309">
        <f t="shared" si="64"/>
        <v>0</v>
      </c>
      <c r="V135" s="309">
        <f t="shared" si="64"/>
        <v>0</v>
      </c>
      <c r="W135" s="309">
        <f t="shared" si="64"/>
        <v>0</v>
      </c>
      <c r="X135" s="309">
        <f t="shared" si="64"/>
        <v>0</v>
      </c>
      <c r="Y135" s="309">
        <f t="shared" si="64"/>
        <v>0</v>
      </c>
      <c r="Z135" s="309">
        <f t="shared" si="64"/>
        <v>0</v>
      </c>
      <c r="AA135" s="309">
        <f t="shared" si="64"/>
        <v>0</v>
      </c>
      <c r="AB135" s="309">
        <f t="shared" si="64"/>
        <v>0</v>
      </c>
      <c r="AC135" s="309">
        <f t="shared" si="64"/>
        <v>0</v>
      </c>
      <c r="AD135" s="309">
        <f t="shared" si="64"/>
        <v>0</v>
      </c>
      <c r="AE135" s="309">
        <f t="shared" si="64"/>
        <v>0</v>
      </c>
      <c r="AF135" s="309">
        <f t="shared" si="64"/>
        <v>0</v>
      </c>
      <c r="AG135" s="309">
        <f t="shared" si="64"/>
        <v>0</v>
      </c>
      <c r="AH135" s="309">
        <f t="shared" si="64"/>
        <v>0</v>
      </c>
      <c r="AI135" s="309">
        <f t="shared" si="64"/>
        <v>0</v>
      </c>
      <c r="AJ135" s="309">
        <f t="shared" si="64"/>
        <v>0</v>
      </c>
      <c r="AK135" s="309">
        <f t="shared" si="64"/>
        <v>0</v>
      </c>
      <c r="AL135" s="309">
        <f t="shared" si="64"/>
        <v>0</v>
      </c>
      <c r="AM135" s="309">
        <f t="shared" si="64"/>
        <v>0</v>
      </c>
      <c r="AN135" s="309">
        <f t="shared" si="64"/>
        <v>0</v>
      </c>
      <c r="AO135" s="309">
        <f t="shared" si="64"/>
        <v>0</v>
      </c>
      <c r="AP135" s="309">
        <f t="shared" si="64"/>
        <v>0</v>
      </c>
      <c r="AQ135" s="309">
        <f t="shared" si="64"/>
        <v>0</v>
      </c>
      <c r="AR135" s="309">
        <f t="shared" si="64"/>
        <v>0</v>
      </c>
      <c r="AS135" s="309">
        <f t="shared" si="64"/>
        <v>0</v>
      </c>
      <c r="AT135" s="309">
        <f t="shared" si="64"/>
        <v>0</v>
      </c>
      <c r="AU135" s="309">
        <f t="shared" si="64"/>
        <v>0</v>
      </c>
      <c r="AV135" s="309">
        <f t="shared" si="64"/>
        <v>0</v>
      </c>
      <c r="AW135" s="309">
        <f t="shared" si="64"/>
        <v>0</v>
      </c>
      <c r="AX135" s="309">
        <f t="shared" si="64"/>
        <v>0</v>
      </c>
      <c r="AY135" s="309">
        <f t="shared" si="64"/>
        <v>0</v>
      </c>
      <c r="AZ135" s="309">
        <f t="shared" si="64"/>
        <v>0</v>
      </c>
      <c r="BA135" s="309">
        <f t="shared" si="64"/>
        <v>0</v>
      </c>
      <c r="BB135" s="309">
        <f t="shared" si="64"/>
        <v>0</v>
      </c>
      <c r="BC135" s="309">
        <f t="shared" si="64"/>
        <v>0</v>
      </c>
      <c r="BD135" s="309">
        <f t="shared" si="64"/>
        <v>0</v>
      </c>
      <c r="BE135" s="309">
        <f t="shared" si="64"/>
        <v>0</v>
      </c>
      <c r="BF135" s="309">
        <f t="shared" si="64"/>
        <v>0</v>
      </c>
      <c r="BG135" s="309">
        <f t="shared" si="64"/>
        <v>0</v>
      </c>
      <c r="BH135" s="309">
        <f t="shared" si="64"/>
        <v>0</v>
      </c>
      <c r="BI135" s="309">
        <f t="shared" si="64"/>
        <v>0</v>
      </c>
      <c r="BJ135" s="309">
        <f t="shared" si="64"/>
        <v>0</v>
      </c>
      <c r="BK135" s="309">
        <f t="shared" si="64"/>
        <v>0</v>
      </c>
      <c r="BL135" s="309">
        <f t="shared" si="64"/>
        <v>0</v>
      </c>
      <c r="BM135" s="309">
        <f t="shared" si="64"/>
        <v>0</v>
      </c>
      <c r="BN135" s="309">
        <f t="shared" si="64"/>
        <v>0</v>
      </c>
      <c r="BO135" s="309">
        <f t="shared" si="64"/>
        <v>0</v>
      </c>
      <c r="BP135" s="309">
        <f t="shared" si="64"/>
        <v>0</v>
      </c>
      <c r="BQ135" s="309">
        <f t="shared" si="64"/>
        <v>0</v>
      </c>
      <c r="BR135" s="309">
        <f t="shared" si="64"/>
        <v>0</v>
      </c>
      <c r="BS135" s="309">
        <f t="shared" si="64"/>
        <v>0</v>
      </c>
      <c r="BT135" s="309">
        <f t="shared" si="64"/>
        <v>0</v>
      </c>
      <c r="BU135" s="309">
        <f t="shared" si="64"/>
        <v>0</v>
      </c>
      <c r="BV135" s="309">
        <f t="shared" si="64"/>
        <v>0</v>
      </c>
      <c r="BW135" s="309">
        <f t="shared" si="64"/>
        <v>0</v>
      </c>
      <c r="BX135" s="309">
        <f t="shared" si="64"/>
        <v>0</v>
      </c>
    </row>
    <row r="136" spans="3:76" hidden="1" outlineLevel="1">
      <c r="C136" s="308" t="s">
        <v>274</v>
      </c>
      <c r="D136" s="317"/>
      <c r="E136" s="309"/>
      <c r="F136" s="309"/>
      <c r="G136" s="309"/>
      <c r="H136" s="309"/>
      <c r="I136" s="309"/>
      <c r="J136" s="309"/>
      <c r="K136" s="309"/>
      <c r="L136" s="309"/>
      <c r="M136" s="309"/>
      <c r="N136" s="309"/>
      <c r="O136" s="309"/>
      <c r="P136" s="309"/>
      <c r="Q136" s="309"/>
      <c r="R136" s="309"/>
      <c r="S136" s="309"/>
      <c r="T136" s="309"/>
      <c r="U136" s="309"/>
      <c r="V136" s="309"/>
      <c r="W136" s="309"/>
      <c r="X136" s="309"/>
      <c r="Y136" s="309"/>
      <c r="Z136" s="309"/>
      <c r="AA136" s="309"/>
      <c r="AB136" s="309"/>
      <c r="AC136" s="309"/>
      <c r="AD136" s="309"/>
      <c r="AE136" s="309"/>
      <c r="AF136" s="309"/>
      <c r="AG136" s="309"/>
      <c r="AH136" s="309"/>
      <c r="AI136" s="309"/>
      <c r="AJ136" s="309"/>
      <c r="AK136" s="309"/>
      <c r="AL136" s="309"/>
      <c r="AM136" s="309"/>
      <c r="AN136" s="309"/>
      <c r="AO136" s="309"/>
      <c r="AP136" s="309"/>
      <c r="AQ136" s="309"/>
      <c r="AR136" s="309"/>
      <c r="AS136" s="309"/>
      <c r="AT136" s="309"/>
      <c r="AU136" s="309"/>
      <c r="AV136" s="309"/>
      <c r="AW136" s="309"/>
      <c r="AX136" s="309"/>
      <c r="AY136" s="309"/>
      <c r="AZ136" s="309"/>
      <c r="BA136" s="309"/>
      <c r="BB136" s="309"/>
      <c r="BC136" s="309"/>
      <c r="BD136" s="309"/>
      <c r="BE136" s="309"/>
      <c r="BF136" s="309"/>
      <c r="BG136" s="309"/>
      <c r="BH136" s="309"/>
      <c r="BI136" s="309"/>
      <c r="BJ136" s="309"/>
      <c r="BK136" s="309"/>
      <c r="BL136" s="309"/>
      <c r="BM136" s="309"/>
      <c r="BN136" s="309"/>
      <c r="BO136" s="309"/>
      <c r="BP136" s="309"/>
      <c r="BQ136" s="309"/>
      <c r="BR136" s="309"/>
      <c r="BS136" s="309"/>
      <c r="BT136" s="309"/>
      <c r="BU136" s="309"/>
      <c r="BV136" s="309"/>
      <c r="BW136" s="309"/>
      <c r="BX136" s="309"/>
    </row>
    <row r="137" spans="3:76" hidden="1" outlineLevel="1">
      <c r="C137" s="308" t="s">
        <v>265</v>
      </c>
      <c r="D137" s="317"/>
      <c r="E137" s="309">
        <f t="shared" ref="E137:BX137" si="65">-E57</f>
        <v>0</v>
      </c>
      <c r="F137" s="309">
        <f t="shared" si="65"/>
        <v>0</v>
      </c>
      <c r="G137" s="309">
        <f t="shared" si="65"/>
        <v>0</v>
      </c>
      <c r="H137" s="309">
        <f t="shared" si="65"/>
        <v>0</v>
      </c>
      <c r="I137" s="309">
        <f t="shared" si="65"/>
        <v>0</v>
      </c>
      <c r="J137" s="309">
        <f t="shared" si="65"/>
        <v>0</v>
      </c>
      <c r="K137" s="309">
        <f t="shared" si="65"/>
        <v>0</v>
      </c>
      <c r="L137" s="309">
        <f t="shared" si="65"/>
        <v>0</v>
      </c>
      <c r="M137" s="309">
        <f t="shared" si="65"/>
        <v>0</v>
      </c>
      <c r="N137" s="309">
        <f t="shared" si="65"/>
        <v>0</v>
      </c>
      <c r="O137" s="309">
        <f t="shared" si="65"/>
        <v>0</v>
      </c>
      <c r="P137" s="309">
        <f t="shared" si="65"/>
        <v>0</v>
      </c>
      <c r="Q137" s="309">
        <f t="shared" si="65"/>
        <v>0</v>
      </c>
      <c r="R137" s="309">
        <f t="shared" si="65"/>
        <v>0</v>
      </c>
      <c r="S137" s="309">
        <f t="shared" si="65"/>
        <v>0</v>
      </c>
      <c r="T137" s="309">
        <f t="shared" si="65"/>
        <v>0</v>
      </c>
      <c r="U137" s="309">
        <f t="shared" si="65"/>
        <v>0</v>
      </c>
      <c r="V137" s="309">
        <f t="shared" si="65"/>
        <v>0</v>
      </c>
      <c r="W137" s="309">
        <f t="shared" si="65"/>
        <v>0</v>
      </c>
      <c r="X137" s="309">
        <f t="shared" si="65"/>
        <v>0</v>
      </c>
      <c r="Y137" s="309">
        <f t="shared" si="65"/>
        <v>0</v>
      </c>
      <c r="Z137" s="309">
        <f t="shared" si="65"/>
        <v>0</v>
      </c>
      <c r="AA137" s="309">
        <f t="shared" si="65"/>
        <v>0</v>
      </c>
      <c r="AB137" s="309">
        <f t="shared" si="65"/>
        <v>0</v>
      </c>
      <c r="AC137" s="309">
        <f t="shared" si="65"/>
        <v>0</v>
      </c>
      <c r="AD137" s="309">
        <f t="shared" si="65"/>
        <v>0</v>
      </c>
      <c r="AE137" s="309">
        <f t="shared" si="65"/>
        <v>0</v>
      </c>
      <c r="AF137" s="309">
        <f t="shared" si="65"/>
        <v>0</v>
      </c>
      <c r="AG137" s="309">
        <f t="shared" si="65"/>
        <v>0</v>
      </c>
      <c r="AH137" s="309">
        <f t="shared" si="65"/>
        <v>0</v>
      </c>
      <c r="AI137" s="309">
        <f t="shared" si="65"/>
        <v>0</v>
      </c>
      <c r="AJ137" s="309">
        <f t="shared" si="65"/>
        <v>0</v>
      </c>
      <c r="AK137" s="309">
        <f t="shared" si="65"/>
        <v>0</v>
      </c>
      <c r="AL137" s="309">
        <f t="shared" si="65"/>
        <v>0</v>
      </c>
      <c r="AM137" s="309">
        <f t="shared" si="65"/>
        <v>0</v>
      </c>
      <c r="AN137" s="309">
        <f t="shared" si="65"/>
        <v>0</v>
      </c>
      <c r="AO137" s="309">
        <f t="shared" si="65"/>
        <v>0</v>
      </c>
      <c r="AP137" s="309">
        <f t="shared" si="65"/>
        <v>0</v>
      </c>
      <c r="AQ137" s="309">
        <f t="shared" si="65"/>
        <v>0</v>
      </c>
      <c r="AR137" s="309">
        <f t="shared" si="65"/>
        <v>0</v>
      </c>
      <c r="AS137" s="309">
        <f t="shared" si="65"/>
        <v>0</v>
      </c>
      <c r="AT137" s="309">
        <f t="shared" si="65"/>
        <v>0</v>
      </c>
      <c r="AU137" s="309">
        <f t="shared" si="65"/>
        <v>0</v>
      </c>
      <c r="AV137" s="309">
        <f t="shared" si="65"/>
        <v>0</v>
      </c>
      <c r="AW137" s="309">
        <f t="shared" si="65"/>
        <v>0</v>
      </c>
      <c r="AX137" s="309">
        <f t="shared" si="65"/>
        <v>0</v>
      </c>
      <c r="AY137" s="309">
        <f t="shared" si="65"/>
        <v>0</v>
      </c>
      <c r="AZ137" s="309">
        <f t="shared" si="65"/>
        <v>0</v>
      </c>
      <c r="BA137" s="309">
        <f t="shared" si="65"/>
        <v>0</v>
      </c>
      <c r="BB137" s="309">
        <f t="shared" si="65"/>
        <v>0</v>
      </c>
      <c r="BC137" s="309">
        <f t="shared" si="65"/>
        <v>0</v>
      </c>
      <c r="BD137" s="309">
        <f t="shared" si="65"/>
        <v>0</v>
      </c>
      <c r="BE137" s="309">
        <f t="shared" si="65"/>
        <v>0</v>
      </c>
      <c r="BF137" s="309">
        <f t="shared" si="65"/>
        <v>0</v>
      </c>
      <c r="BG137" s="309">
        <f t="shared" si="65"/>
        <v>0</v>
      </c>
      <c r="BH137" s="309">
        <f t="shared" si="65"/>
        <v>0</v>
      </c>
      <c r="BI137" s="309">
        <f t="shared" si="65"/>
        <v>0</v>
      </c>
      <c r="BJ137" s="309">
        <f t="shared" si="65"/>
        <v>0</v>
      </c>
      <c r="BK137" s="309">
        <f t="shared" si="65"/>
        <v>0</v>
      </c>
      <c r="BL137" s="309">
        <f t="shared" si="65"/>
        <v>0</v>
      </c>
      <c r="BM137" s="309">
        <f t="shared" si="65"/>
        <v>0</v>
      </c>
      <c r="BN137" s="309">
        <f t="shared" si="65"/>
        <v>0</v>
      </c>
      <c r="BO137" s="309">
        <f t="shared" si="65"/>
        <v>0</v>
      </c>
      <c r="BP137" s="309">
        <f t="shared" si="65"/>
        <v>0</v>
      </c>
      <c r="BQ137" s="309">
        <f t="shared" si="65"/>
        <v>0</v>
      </c>
      <c r="BR137" s="309">
        <f t="shared" si="65"/>
        <v>0</v>
      </c>
      <c r="BS137" s="309">
        <f t="shared" si="65"/>
        <v>0</v>
      </c>
      <c r="BT137" s="309">
        <f t="shared" si="65"/>
        <v>0</v>
      </c>
      <c r="BU137" s="309">
        <f t="shared" si="65"/>
        <v>0</v>
      </c>
      <c r="BV137" s="309">
        <f t="shared" si="65"/>
        <v>0</v>
      </c>
      <c r="BW137" s="309">
        <f t="shared" si="65"/>
        <v>0</v>
      </c>
      <c r="BX137" s="309">
        <f t="shared" si="65"/>
        <v>0</v>
      </c>
    </row>
    <row r="138" spans="3:76" hidden="1" outlineLevel="1">
      <c r="C138" s="308" t="s">
        <v>266</v>
      </c>
      <c r="D138" s="317"/>
      <c r="E138" s="309"/>
      <c r="F138" s="309"/>
      <c r="G138" s="309"/>
      <c r="H138" s="309"/>
      <c r="I138" s="309"/>
      <c r="J138" s="309"/>
      <c r="K138" s="309"/>
      <c r="L138" s="309"/>
      <c r="M138" s="309"/>
      <c r="N138" s="309"/>
      <c r="O138" s="309"/>
      <c r="P138" s="309"/>
      <c r="Q138" s="309"/>
      <c r="R138" s="309"/>
      <c r="S138" s="309"/>
      <c r="T138" s="309"/>
      <c r="U138" s="309"/>
      <c r="V138" s="309"/>
      <c r="W138" s="309"/>
      <c r="X138" s="309"/>
      <c r="Y138" s="309"/>
      <c r="Z138" s="309"/>
      <c r="AA138" s="309"/>
      <c r="AB138" s="309"/>
      <c r="AC138" s="309"/>
      <c r="AD138" s="309"/>
      <c r="AE138" s="309"/>
      <c r="AF138" s="309"/>
      <c r="AG138" s="309"/>
      <c r="AH138" s="309"/>
      <c r="AI138" s="309"/>
      <c r="AJ138" s="309"/>
      <c r="AK138" s="309"/>
      <c r="AL138" s="309"/>
      <c r="AM138" s="309"/>
      <c r="AN138" s="309"/>
      <c r="AO138" s="309"/>
      <c r="AP138" s="309"/>
      <c r="AQ138" s="309"/>
      <c r="AR138" s="309"/>
      <c r="AS138" s="309"/>
      <c r="AT138" s="309"/>
      <c r="AU138" s="309"/>
      <c r="AV138" s="309"/>
      <c r="AW138" s="309"/>
      <c r="AX138" s="309"/>
      <c r="AY138" s="309"/>
      <c r="AZ138" s="309"/>
      <c r="BA138" s="309"/>
      <c r="BB138" s="309"/>
      <c r="BC138" s="309"/>
      <c r="BD138" s="309"/>
      <c r="BE138" s="309"/>
      <c r="BF138" s="309"/>
      <c r="BG138" s="309"/>
      <c r="BH138" s="309"/>
      <c r="BI138" s="309"/>
      <c r="BJ138" s="309"/>
      <c r="BK138" s="309"/>
      <c r="BL138" s="309"/>
      <c r="BM138" s="309"/>
      <c r="BN138" s="309"/>
      <c r="BO138" s="309"/>
      <c r="BP138" s="309"/>
      <c r="BQ138" s="309"/>
      <c r="BR138" s="309"/>
      <c r="BS138" s="309"/>
      <c r="BT138" s="309"/>
      <c r="BU138" s="309"/>
      <c r="BV138" s="309"/>
      <c r="BW138" s="309"/>
      <c r="BX138" s="309">
        <f>IF(D90&gt;0.25,(BX84-BX93)*D139,BX84*D139)</f>
        <v>0</v>
      </c>
    </row>
    <row r="139" spans="3:76" hidden="1" outlineLevel="1">
      <c r="C139" s="311" t="s">
        <v>267</v>
      </c>
      <c r="D139" s="317">
        <v>0</v>
      </c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  <c r="R139" s="250"/>
      <c r="S139" s="250"/>
      <c r="T139" s="250"/>
      <c r="U139" s="250"/>
      <c r="V139" s="250"/>
      <c r="W139" s="250"/>
      <c r="X139" s="250"/>
      <c r="Y139" s="250"/>
      <c r="Z139" s="250"/>
      <c r="AA139" s="250"/>
      <c r="AB139" s="250"/>
      <c r="AC139" s="250"/>
      <c r="AD139" s="250"/>
      <c r="AE139" s="250"/>
      <c r="AF139" s="250"/>
      <c r="AG139" s="250"/>
      <c r="AH139" s="250"/>
      <c r="AI139" s="250"/>
      <c r="AJ139" s="250"/>
      <c r="AK139" s="250"/>
      <c r="AL139" s="250"/>
      <c r="AM139" s="250"/>
      <c r="AN139" s="250"/>
      <c r="AO139" s="250"/>
      <c r="AP139" s="250"/>
      <c r="AQ139" s="250"/>
      <c r="AR139" s="250"/>
      <c r="AS139" s="250"/>
      <c r="AT139" s="250"/>
      <c r="AU139" s="250"/>
      <c r="AV139" s="250"/>
      <c r="AW139" s="250"/>
      <c r="AX139" s="250"/>
      <c r="AY139" s="250"/>
      <c r="AZ139" s="250"/>
      <c r="BA139" s="250"/>
      <c r="BB139" s="250"/>
      <c r="BC139" s="250"/>
      <c r="BD139" s="250"/>
      <c r="BE139" s="250"/>
      <c r="BF139" s="250"/>
      <c r="BG139" s="250"/>
      <c r="BH139" s="250"/>
      <c r="BI139" s="250"/>
      <c r="BJ139" s="250"/>
      <c r="BK139" s="250"/>
      <c r="BL139" s="250"/>
      <c r="BM139" s="250"/>
      <c r="BN139" s="250"/>
      <c r="BO139" s="250"/>
      <c r="BP139" s="250"/>
      <c r="BQ139" s="250"/>
      <c r="BR139" s="250"/>
      <c r="BS139" s="250"/>
      <c r="BT139" s="250"/>
      <c r="BU139" s="250"/>
      <c r="BV139" s="250"/>
      <c r="BW139" s="250"/>
      <c r="BX139" s="250"/>
    </row>
    <row r="140" spans="3:76" hidden="1" outlineLevel="1">
      <c r="C140" s="308" t="s">
        <v>268</v>
      </c>
      <c r="D140" s="309"/>
      <c r="E140" s="319">
        <f t="shared" ref="E140:BX140" si="66">E135+E136+E137+E138+E139</f>
        <v>0</v>
      </c>
      <c r="F140" s="319">
        <f t="shared" si="66"/>
        <v>0</v>
      </c>
      <c r="G140" s="319">
        <f t="shared" si="66"/>
        <v>0</v>
      </c>
      <c r="H140" s="319">
        <f t="shared" si="66"/>
        <v>0</v>
      </c>
      <c r="I140" s="319">
        <f t="shared" si="66"/>
        <v>0</v>
      </c>
      <c r="J140" s="319">
        <f t="shared" si="66"/>
        <v>0</v>
      </c>
      <c r="K140" s="319">
        <f t="shared" si="66"/>
        <v>0</v>
      </c>
      <c r="L140" s="319">
        <f t="shared" si="66"/>
        <v>0</v>
      </c>
      <c r="M140" s="319">
        <f t="shared" si="66"/>
        <v>0</v>
      </c>
      <c r="N140" s="319">
        <f t="shared" si="66"/>
        <v>0</v>
      </c>
      <c r="O140" s="319">
        <f t="shared" si="66"/>
        <v>0</v>
      </c>
      <c r="P140" s="319">
        <f t="shared" si="66"/>
        <v>0</v>
      </c>
      <c r="Q140" s="319">
        <f t="shared" si="66"/>
        <v>0</v>
      </c>
      <c r="R140" s="319">
        <f t="shared" si="66"/>
        <v>0</v>
      </c>
      <c r="S140" s="319">
        <f t="shared" si="66"/>
        <v>0</v>
      </c>
      <c r="T140" s="319">
        <f t="shared" si="66"/>
        <v>0</v>
      </c>
      <c r="U140" s="319">
        <f t="shared" si="66"/>
        <v>0</v>
      </c>
      <c r="V140" s="319">
        <f t="shared" si="66"/>
        <v>0</v>
      </c>
      <c r="W140" s="319">
        <f t="shared" si="66"/>
        <v>0</v>
      </c>
      <c r="X140" s="319">
        <f t="shared" si="66"/>
        <v>0</v>
      </c>
      <c r="Y140" s="319">
        <f t="shared" si="66"/>
        <v>0</v>
      </c>
      <c r="Z140" s="319">
        <f t="shared" si="66"/>
        <v>0</v>
      </c>
      <c r="AA140" s="319">
        <f t="shared" si="66"/>
        <v>0</v>
      </c>
      <c r="AB140" s="319">
        <f t="shared" si="66"/>
        <v>0</v>
      </c>
      <c r="AC140" s="319">
        <f t="shared" si="66"/>
        <v>0</v>
      </c>
      <c r="AD140" s="319">
        <f t="shared" si="66"/>
        <v>0</v>
      </c>
      <c r="AE140" s="319">
        <f t="shared" si="66"/>
        <v>0</v>
      </c>
      <c r="AF140" s="319">
        <f t="shared" si="66"/>
        <v>0</v>
      </c>
      <c r="AG140" s="319">
        <f t="shared" si="66"/>
        <v>0</v>
      </c>
      <c r="AH140" s="319">
        <f t="shared" si="66"/>
        <v>0</v>
      </c>
      <c r="AI140" s="319">
        <f t="shared" si="66"/>
        <v>0</v>
      </c>
      <c r="AJ140" s="319">
        <f t="shared" si="66"/>
        <v>0</v>
      </c>
      <c r="AK140" s="319">
        <f t="shared" si="66"/>
        <v>0</v>
      </c>
      <c r="AL140" s="319">
        <f t="shared" si="66"/>
        <v>0</v>
      </c>
      <c r="AM140" s="319">
        <f t="shared" si="66"/>
        <v>0</v>
      </c>
      <c r="AN140" s="319">
        <f t="shared" si="66"/>
        <v>0</v>
      </c>
      <c r="AO140" s="319">
        <f t="shared" si="66"/>
        <v>0</v>
      </c>
      <c r="AP140" s="319">
        <f t="shared" si="66"/>
        <v>0</v>
      </c>
      <c r="AQ140" s="319">
        <f t="shared" si="66"/>
        <v>0</v>
      </c>
      <c r="AR140" s="319">
        <f t="shared" si="66"/>
        <v>0</v>
      </c>
      <c r="AS140" s="319">
        <f t="shared" si="66"/>
        <v>0</v>
      </c>
      <c r="AT140" s="319">
        <f t="shared" si="66"/>
        <v>0</v>
      </c>
      <c r="AU140" s="319">
        <f t="shared" si="66"/>
        <v>0</v>
      </c>
      <c r="AV140" s="319">
        <f t="shared" si="66"/>
        <v>0</v>
      </c>
      <c r="AW140" s="319">
        <f t="shared" si="66"/>
        <v>0</v>
      </c>
      <c r="AX140" s="319">
        <f t="shared" si="66"/>
        <v>0</v>
      </c>
      <c r="AY140" s="319">
        <f t="shared" si="66"/>
        <v>0</v>
      </c>
      <c r="AZ140" s="319">
        <f t="shared" si="66"/>
        <v>0</v>
      </c>
      <c r="BA140" s="319">
        <f t="shared" si="66"/>
        <v>0</v>
      </c>
      <c r="BB140" s="319">
        <f t="shared" si="66"/>
        <v>0</v>
      </c>
      <c r="BC140" s="319">
        <f t="shared" si="66"/>
        <v>0</v>
      </c>
      <c r="BD140" s="319">
        <f t="shared" si="66"/>
        <v>0</v>
      </c>
      <c r="BE140" s="319">
        <f t="shared" si="66"/>
        <v>0</v>
      </c>
      <c r="BF140" s="319">
        <f t="shared" si="66"/>
        <v>0</v>
      </c>
      <c r="BG140" s="319">
        <f t="shared" si="66"/>
        <v>0</v>
      </c>
      <c r="BH140" s="319">
        <f t="shared" si="66"/>
        <v>0</v>
      </c>
      <c r="BI140" s="319">
        <f t="shared" si="66"/>
        <v>0</v>
      </c>
      <c r="BJ140" s="319">
        <f t="shared" si="66"/>
        <v>0</v>
      </c>
      <c r="BK140" s="319">
        <f t="shared" si="66"/>
        <v>0</v>
      </c>
      <c r="BL140" s="319">
        <f t="shared" si="66"/>
        <v>0</v>
      </c>
      <c r="BM140" s="319">
        <f t="shared" si="66"/>
        <v>0</v>
      </c>
      <c r="BN140" s="319">
        <f t="shared" si="66"/>
        <v>0</v>
      </c>
      <c r="BO140" s="319">
        <f t="shared" si="66"/>
        <v>0</v>
      </c>
      <c r="BP140" s="319">
        <f t="shared" si="66"/>
        <v>0</v>
      </c>
      <c r="BQ140" s="319">
        <f t="shared" si="66"/>
        <v>0</v>
      </c>
      <c r="BR140" s="319">
        <f t="shared" si="66"/>
        <v>0</v>
      </c>
      <c r="BS140" s="319">
        <f t="shared" si="66"/>
        <v>0</v>
      </c>
      <c r="BT140" s="319">
        <f t="shared" si="66"/>
        <v>0</v>
      </c>
      <c r="BU140" s="319">
        <f t="shared" si="66"/>
        <v>0</v>
      </c>
      <c r="BV140" s="319">
        <f t="shared" si="66"/>
        <v>0</v>
      </c>
      <c r="BW140" s="319">
        <f t="shared" si="66"/>
        <v>0</v>
      </c>
      <c r="BX140" s="319">
        <f t="shared" si="66"/>
        <v>0</v>
      </c>
    </row>
    <row r="141" spans="3:76" hidden="1" outlineLevel="1">
      <c r="C141" s="312"/>
      <c r="D141" s="322" t="s">
        <v>275</v>
      </c>
      <c r="E141" s="321">
        <f>E140</f>
        <v>0</v>
      </c>
      <c r="F141" s="321">
        <f t="shared" ref="F141:BX141" si="67">E141+F140</f>
        <v>0</v>
      </c>
      <c r="G141" s="321">
        <f t="shared" si="67"/>
        <v>0</v>
      </c>
      <c r="H141" s="321">
        <f t="shared" si="67"/>
        <v>0</v>
      </c>
      <c r="I141" s="321">
        <f t="shared" si="67"/>
        <v>0</v>
      </c>
      <c r="J141" s="321">
        <f t="shared" si="67"/>
        <v>0</v>
      </c>
      <c r="K141" s="321">
        <f t="shared" si="67"/>
        <v>0</v>
      </c>
      <c r="L141" s="321">
        <f t="shared" si="67"/>
        <v>0</v>
      </c>
      <c r="M141" s="321">
        <f t="shared" si="67"/>
        <v>0</v>
      </c>
      <c r="N141" s="321">
        <f t="shared" si="67"/>
        <v>0</v>
      </c>
      <c r="O141" s="321">
        <f t="shared" si="67"/>
        <v>0</v>
      </c>
      <c r="P141" s="321">
        <f t="shared" si="67"/>
        <v>0</v>
      </c>
      <c r="Q141" s="321">
        <f t="shared" si="67"/>
        <v>0</v>
      </c>
      <c r="R141" s="321">
        <f t="shared" si="67"/>
        <v>0</v>
      </c>
      <c r="S141" s="321">
        <f t="shared" si="67"/>
        <v>0</v>
      </c>
      <c r="T141" s="321">
        <f t="shared" si="67"/>
        <v>0</v>
      </c>
      <c r="U141" s="321">
        <f t="shared" si="67"/>
        <v>0</v>
      </c>
      <c r="V141" s="321">
        <f t="shared" si="67"/>
        <v>0</v>
      </c>
      <c r="W141" s="321">
        <f t="shared" si="67"/>
        <v>0</v>
      </c>
      <c r="X141" s="321">
        <f t="shared" si="67"/>
        <v>0</v>
      </c>
      <c r="Y141" s="321">
        <f t="shared" si="67"/>
        <v>0</v>
      </c>
      <c r="Z141" s="321">
        <f t="shared" si="67"/>
        <v>0</v>
      </c>
      <c r="AA141" s="321">
        <f t="shared" si="67"/>
        <v>0</v>
      </c>
      <c r="AB141" s="321">
        <f t="shared" si="67"/>
        <v>0</v>
      </c>
      <c r="AC141" s="321">
        <f t="shared" si="67"/>
        <v>0</v>
      </c>
      <c r="AD141" s="321">
        <f t="shared" si="67"/>
        <v>0</v>
      </c>
      <c r="AE141" s="321">
        <f t="shared" si="67"/>
        <v>0</v>
      </c>
      <c r="AF141" s="321">
        <f t="shared" si="67"/>
        <v>0</v>
      </c>
      <c r="AG141" s="321">
        <f t="shared" si="67"/>
        <v>0</v>
      </c>
      <c r="AH141" s="321">
        <f t="shared" si="67"/>
        <v>0</v>
      </c>
      <c r="AI141" s="321">
        <f t="shared" si="67"/>
        <v>0</v>
      </c>
      <c r="AJ141" s="321">
        <f t="shared" si="67"/>
        <v>0</v>
      </c>
      <c r="AK141" s="321">
        <f t="shared" si="67"/>
        <v>0</v>
      </c>
      <c r="AL141" s="321">
        <f t="shared" si="67"/>
        <v>0</v>
      </c>
      <c r="AM141" s="321">
        <f t="shared" si="67"/>
        <v>0</v>
      </c>
      <c r="AN141" s="321">
        <f t="shared" si="67"/>
        <v>0</v>
      </c>
      <c r="AO141" s="321">
        <f t="shared" si="67"/>
        <v>0</v>
      </c>
      <c r="AP141" s="321">
        <f t="shared" si="67"/>
        <v>0</v>
      </c>
      <c r="AQ141" s="321">
        <f t="shared" si="67"/>
        <v>0</v>
      </c>
      <c r="AR141" s="321">
        <f t="shared" si="67"/>
        <v>0</v>
      </c>
      <c r="AS141" s="321">
        <f t="shared" si="67"/>
        <v>0</v>
      </c>
      <c r="AT141" s="321">
        <f t="shared" si="67"/>
        <v>0</v>
      </c>
      <c r="AU141" s="321">
        <f t="shared" si="67"/>
        <v>0</v>
      </c>
      <c r="AV141" s="321">
        <f t="shared" si="67"/>
        <v>0</v>
      </c>
      <c r="AW141" s="321">
        <f t="shared" si="67"/>
        <v>0</v>
      </c>
      <c r="AX141" s="321">
        <f t="shared" si="67"/>
        <v>0</v>
      </c>
      <c r="AY141" s="321">
        <f t="shared" si="67"/>
        <v>0</v>
      </c>
      <c r="AZ141" s="321">
        <f t="shared" si="67"/>
        <v>0</v>
      </c>
      <c r="BA141" s="321">
        <f t="shared" si="67"/>
        <v>0</v>
      </c>
      <c r="BB141" s="321">
        <f t="shared" si="67"/>
        <v>0</v>
      </c>
      <c r="BC141" s="321">
        <f t="shared" si="67"/>
        <v>0</v>
      </c>
      <c r="BD141" s="321">
        <f t="shared" si="67"/>
        <v>0</v>
      </c>
      <c r="BE141" s="321">
        <f t="shared" si="67"/>
        <v>0</v>
      </c>
      <c r="BF141" s="321">
        <f t="shared" si="67"/>
        <v>0</v>
      </c>
      <c r="BG141" s="321">
        <f t="shared" si="67"/>
        <v>0</v>
      </c>
      <c r="BH141" s="321">
        <f t="shared" si="67"/>
        <v>0</v>
      </c>
      <c r="BI141" s="321">
        <f t="shared" si="67"/>
        <v>0</v>
      </c>
      <c r="BJ141" s="321">
        <f t="shared" si="67"/>
        <v>0</v>
      </c>
      <c r="BK141" s="321">
        <f t="shared" si="67"/>
        <v>0</v>
      </c>
      <c r="BL141" s="321">
        <f t="shared" si="67"/>
        <v>0</v>
      </c>
      <c r="BM141" s="321">
        <f t="shared" si="67"/>
        <v>0</v>
      </c>
      <c r="BN141" s="321">
        <f t="shared" si="67"/>
        <v>0</v>
      </c>
      <c r="BO141" s="321">
        <f t="shared" si="67"/>
        <v>0</v>
      </c>
      <c r="BP141" s="321">
        <f t="shared" si="67"/>
        <v>0</v>
      </c>
      <c r="BQ141" s="321">
        <f t="shared" si="67"/>
        <v>0</v>
      </c>
      <c r="BR141" s="321">
        <f t="shared" si="67"/>
        <v>0</v>
      </c>
      <c r="BS141" s="321">
        <f t="shared" si="67"/>
        <v>0</v>
      </c>
      <c r="BT141" s="321">
        <f t="shared" si="67"/>
        <v>0</v>
      </c>
      <c r="BU141" s="321">
        <f t="shared" si="67"/>
        <v>0</v>
      </c>
      <c r="BV141" s="321">
        <f t="shared" si="67"/>
        <v>0</v>
      </c>
      <c r="BW141" s="321">
        <f t="shared" si="67"/>
        <v>0</v>
      </c>
      <c r="BX141" s="321">
        <f t="shared" si="67"/>
        <v>0</v>
      </c>
    </row>
    <row r="142" spans="3:76" hidden="1" outlineLevel="1">
      <c r="C142" s="311" t="s">
        <v>261</v>
      </c>
      <c r="D142" s="322" t="e">
        <f>IRR(E140:BX140)*12</f>
        <v>#NUM!</v>
      </c>
      <c r="E142" s="229"/>
      <c r="F142" s="229"/>
      <c r="G142" s="229"/>
      <c r="H142" s="229"/>
      <c r="I142" s="229"/>
      <c r="J142" s="229"/>
      <c r="K142" s="229"/>
      <c r="L142" s="229"/>
      <c r="M142" s="229"/>
      <c r="N142" s="229"/>
      <c r="O142" s="229"/>
      <c r="P142" s="229"/>
      <c r="Q142" s="229"/>
      <c r="R142" s="229"/>
      <c r="S142" s="229"/>
      <c r="T142" s="229"/>
      <c r="U142" s="229"/>
      <c r="V142" s="229"/>
      <c r="W142" s="229"/>
      <c r="X142" s="229"/>
      <c r="Y142" s="229"/>
      <c r="Z142" s="229"/>
      <c r="AA142" s="229"/>
      <c r="AB142" s="229"/>
      <c r="AC142" s="229"/>
      <c r="AD142" s="229"/>
      <c r="AE142" s="229"/>
      <c r="AF142" s="229"/>
      <c r="AG142" s="229"/>
      <c r="AH142" s="229"/>
      <c r="AI142" s="229"/>
      <c r="AJ142" s="229"/>
      <c r="AK142" s="229"/>
      <c r="AL142" s="229"/>
      <c r="AM142" s="229"/>
      <c r="AN142" s="229"/>
      <c r="AO142" s="229"/>
      <c r="AP142" s="229"/>
      <c r="AQ142" s="229"/>
      <c r="AR142" s="229"/>
      <c r="AS142" s="229"/>
      <c r="AT142" s="229"/>
      <c r="AU142" s="229"/>
      <c r="AV142" s="229"/>
      <c r="AW142" s="229"/>
      <c r="AX142" s="229"/>
      <c r="AY142" s="229"/>
      <c r="AZ142" s="229"/>
      <c r="BA142" s="229"/>
      <c r="BB142" s="229"/>
      <c r="BC142" s="229"/>
      <c r="BD142" s="229"/>
      <c r="BE142" s="229"/>
      <c r="BF142" s="229"/>
      <c r="BG142" s="229"/>
      <c r="BH142" s="229"/>
      <c r="BI142" s="229"/>
      <c r="BJ142" s="229"/>
      <c r="BK142" s="229"/>
      <c r="BL142" s="229"/>
      <c r="BM142" s="229"/>
      <c r="BN142" s="229"/>
      <c r="BO142" s="229"/>
      <c r="BP142" s="229"/>
      <c r="BQ142" s="229"/>
      <c r="BR142" s="229"/>
      <c r="BS142" s="229"/>
      <c r="BT142" s="229"/>
      <c r="BU142" s="229"/>
      <c r="BV142" s="229"/>
      <c r="BW142" s="229"/>
      <c r="BX142" s="229"/>
    </row>
    <row r="143" spans="3:76" hidden="1" outlineLevel="1">
      <c r="C143" s="323" t="s">
        <v>269</v>
      </c>
      <c r="D143" s="324">
        <f>-MIN(M141:BL141)-D144</f>
        <v>0</v>
      </c>
      <c r="E143" s="229"/>
      <c r="F143" s="229"/>
      <c r="G143" s="229"/>
      <c r="H143" s="229"/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29"/>
      <c r="U143" s="229"/>
      <c r="V143" s="229"/>
      <c r="W143" s="229"/>
      <c r="X143" s="229"/>
      <c r="Y143" s="229"/>
      <c r="Z143" s="229"/>
      <c r="AA143" s="229"/>
      <c r="AB143" s="229"/>
      <c r="AC143" s="229"/>
      <c r="AD143" s="229"/>
      <c r="AE143" s="229"/>
      <c r="AF143" s="229"/>
      <c r="AG143" s="229"/>
      <c r="AH143" s="229"/>
      <c r="AI143" s="229"/>
      <c r="AJ143" s="229"/>
      <c r="AK143" s="229"/>
      <c r="AL143" s="229"/>
      <c r="AM143" s="229"/>
      <c r="AN143" s="229"/>
      <c r="AO143" s="229"/>
      <c r="AP143" s="229"/>
      <c r="AQ143" s="229"/>
      <c r="AR143" s="229"/>
      <c r="AS143" s="229"/>
      <c r="AT143" s="229"/>
      <c r="AU143" s="229"/>
      <c r="AV143" s="229"/>
      <c r="AW143" s="229"/>
      <c r="AX143" s="229"/>
      <c r="AY143" s="229"/>
      <c r="AZ143" s="229"/>
      <c r="BA143" s="229"/>
      <c r="BB143" s="229"/>
      <c r="BC143" s="229"/>
      <c r="BD143" s="229"/>
      <c r="BE143" s="229"/>
      <c r="BF143" s="229"/>
      <c r="BG143" s="229"/>
      <c r="BH143" s="229"/>
      <c r="BI143" s="229"/>
      <c r="BJ143" s="229"/>
      <c r="BK143" s="229"/>
      <c r="BL143" s="229"/>
      <c r="BM143" s="229"/>
      <c r="BN143" s="229"/>
      <c r="BO143" s="229"/>
      <c r="BP143" s="229"/>
      <c r="BQ143" s="229"/>
      <c r="BR143" s="229"/>
      <c r="BS143" s="229"/>
      <c r="BT143" s="229"/>
      <c r="BU143" s="229"/>
      <c r="BV143" s="229"/>
      <c r="BW143" s="229"/>
      <c r="BX143" s="229"/>
    </row>
    <row r="144" spans="3:76" hidden="1" outlineLevel="1">
      <c r="C144" s="323" t="s">
        <v>276</v>
      </c>
      <c r="D144" s="324">
        <f>-SUM(M139:BB139)</f>
        <v>0</v>
      </c>
      <c r="E144" s="229"/>
      <c r="F144" s="229"/>
      <c r="G144" s="229"/>
      <c r="H144" s="229"/>
      <c r="I144" s="229"/>
      <c r="J144" s="229"/>
      <c r="K144" s="229"/>
      <c r="L144" s="229"/>
      <c r="M144" s="229"/>
      <c r="N144" s="229"/>
      <c r="O144" s="229"/>
      <c r="P144" s="229"/>
      <c r="Q144" s="229"/>
      <c r="R144" s="229"/>
      <c r="S144" s="229"/>
      <c r="T144" s="229"/>
      <c r="U144" s="229"/>
      <c r="V144" s="229"/>
      <c r="W144" s="229"/>
      <c r="X144" s="229"/>
      <c r="Y144" s="229"/>
      <c r="Z144" s="229"/>
      <c r="AA144" s="229"/>
      <c r="AB144" s="229"/>
      <c r="AC144" s="229"/>
      <c r="AD144" s="229"/>
      <c r="AE144" s="229"/>
      <c r="AF144" s="229"/>
      <c r="AG144" s="229"/>
      <c r="AH144" s="229"/>
      <c r="AI144" s="229"/>
      <c r="AJ144" s="229"/>
      <c r="AK144" s="229"/>
      <c r="AL144" s="229"/>
      <c r="AM144" s="229"/>
      <c r="AN144" s="229"/>
      <c r="AO144" s="229"/>
      <c r="AP144" s="229"/>
      <c r="AQ144" s="229"/>
      <c r="AR144" s="229"/>
      <c r="AS144" s="229"/>
      <c r="AT144" s="229"/>
      <c r="AU144" s="229"/>
      <c r="AV144" s="229"/>
      <c r="AW144" s="229"/>
      <c r="AX144" s="229"/>
      <c r="AY144" s="229"/>
      <c r="AZ144" s="229"/>
      <c r="BA144" s="229"/>
      <c r="BB144" s="229"/>
      <c r="BC144" s="229"/>
      <c r="BD144" s="229"/>
      <c r="BE144" s="229"/>
      <c r="BF144" s="229"/>
      <c r="BG144" s="229"/>
      <c r="BH144" s="229"/>
      <c r="BI144" s="229"/>
      <c r="BJ144" s="229"/>
      <c r="BK144" s="229"/>
      <c r="BL144" s="229"/>
      <c r="BM144" s="229"/>
      <c r="BN144" s="229"/>
      <c r="BO144" s="229"/>
      <c r="BP144" s="229"/>
      <c r="BQ144" s="229"/>
      <c r="BR144" s="229"/>
      <c r="BS144" s="229"/>
      <c r="BT144" s="229"/>
      <c r="BU144" s="229"/>
      <c r="BV144" s="229"/>
      <c r="BW144" s="229"/>
      <c r="BX144" s="229"/>
    </row>
    <row r="145" spans="3:76" hidden="1" outlineLevel="1">
      <c r="C145" s="311" t="s">
        <v>270</v>
      </c>
      <c r="D145" s="325">
        <f>D144+D143</f>
        <v>0</v>
      </c>
      <c r="E145" s="229"/>
      <c r="F145" s="229"/>
      <c r="G145" s="229"/>
      <c r="H145" s="229"/>
      <c r="I145" s="229"/>
      <c r="J145" s="229"/>
      <c r="K145" s="229"/>
      <c r="L145" s="229"/>
      <c r="M145" s="229"/>
      <c r="N145" s="229"/>
      <c r="O145" s="229"/>
      <c r="P145" s="229"/>
      <c r="Q145" s="229"/>
      <c r="R145" s="229"/>
      <c r="S145" s="229"/>
      <c r="T145" s="229"/>
      <c r="U145" s="229"/>
      <c r="V145" s="229"/>
      <c r="W145" s="229"/>
      <c r="X145" s="229"/>
      <c r="Y145" s="229"/>
      <c r="Z145" s="229"/>
      <c r="AA145" s="229"/>
      <c r="AB145" s="229"/>
      <c r="AC145" s="229"/>
      <c r="AD145" s="229"/>
      <c r="AE145" s="229"/>
      <c r="AF145" s="229"/>
      <c r="AG145" s="229"/>
      <c r="AH145" s="229"/>
      <c r="AI145" s="229"/>
      <c r="AJ145" s="229"/>
      <c r="AK145" s="229"/>
      <c r="AL145" s="229"/>
      <c r="AM145" s="229"/>
      <c r="AN145" s="229"/>
      <c r="AO145" s="229"/>
      <c r="AP145" s="229"/>
      <c r="AQ145" s="229"/>
      <c r="AR145" s="229"/>
      <c r="AS145" s="229"/>
      <c r="AT145" s="229"/>
      <c r="AU145" s="229"/>
      <c r="AV145" s="229"/>
      <c r="AW145" s="229"/>
      <c r="AX145" s="229"/>
      <c r="AY145" s="229"/>
      <c r="AZ145" s="229"/>
      <c r="BA145" s="229"/>
      <c r="BB145" s="229"/>
      <c r="BC145" s="229"/>
      <c r="BD145" s="229"/>
      <c r="BE145" s="229"/>
      <c r="BF145" s="229"/>
      <c r="BG145" s="229"/>
      <c r="BH145" s="229"/>
      <c r="BI145" s="229"/>
      <c r="BJ145" s="229"/>
      <c r="BK145" s="229"/>
      <c r="BL145" s="229"/>
      <c r="BM145" s="229"/>
      <c r="BN145" s="229"/>
      <c r="BO145" s="229"/>
      <c r="BP145" s="229"/>
      <c r="BQ145" s="229"/>
      <c r="BR145" s="229"/>
      <c r="BS145" s="229"/>
      <c r="BT145" s="229"/>
      <c r="BU145" s="229"/>
      <c r="BV145" s="229"/>
      <c r="BW145" s="229"/>
      <c r="BX145" s="229"/>
    </row>
    <row r="146" spans="3:76" hidden="1" outlineLevel="1">
      <c r="C146" s="311" t="s">
        <v>271</v>
      </c>
      <c r="D146" s="325">
        <f>BX137+BX138</f>
        <v>0</v>
      </c>
      <c r="E146" s="229"/>
      <c r="F146" s="229"/>
      <c r="G146" s="229"/>
      <c r="H146" s="229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  <c r="U146" s="229"/>
      <c r="V146" s="229"/>
      <c r="W146" s="229"/>
      <c r="X146" s="229"/>
      <c r="Y146" s="229"/>
      <c r="Z146" s="229"/>
      <c r="AA146" s="229"/>
      <c r="AB146" s="229"/>
      <c r="AC146" s="229"/>
      <c r="AD146" s="229"/>
      <c r="AE146" s="229"/>
      <c r="AF146" s="229"/>
      <c r="AG146" s="229"/>
      <c r="AH146" s="229"/>
      <c r="AI146" s="229"/>
      <c r="AJ146" s="229"/>
      <c r="AK146" s="229"/>
      <c r="AL146" s="229"/>
      <c r="AM146" s="229"/>
      <c r="AN146" s="229"/>
      <c r="AO146" s="229"/>
      <c r="AP146" s="229"/>
      <c r="AQ146" s="229"/>
      <c r="AR146" s="229"/>
      <c r="AS146" s="229"/>
      <c r="AT146" s="229"/>
      <c r="AU146" s="229"/>
      <c r="AV146" s="229"/>
      <c r="AW146" s="229"/>
      <c r="AX146" s="229"/>
      <c r="AY146" s="229"/>
      <c r="AZ146" s="229"/>
      <c r="BA146" s="229"/>
      <c r="BB146" s="229"/>
      <c r="BC146" s="229"/>
      <c r="BD146" s="229"/>
      <c r="BE146" s="229"/>
      <c r="BF146" s="229"/>
      <c r="BG146" s="229"/>
      <c r="BH146" s="229"/>
      <c r="BI146" s="229"/>
      <c r="BJ146" s="229"/>
      <c r="BK146" s="229"/>
      <c r="BL146" s="229"/>
      <c r="BM146" s="229"/>
      <c r="BN146" s="229"/>
      <c r="BO146" s="229"/>
      <c r="BP146" s="229"/>
      <c r="BQ146" s="229"/>
      <c r="BR146" s="229"/>
      <c r="BS146" s="229"/>
      <c r="BT146" s="229"/>
      <c r="BU146" s="229"/>
      <c r="BV146" s="229"/>
      <c r="BW146" s="229"/>
      <c r="BX146" s="229"/>
    </row>
    <row r="147" spans="3:76" hidden="1" outlineLevel="1">
      <c r="C147" s="311" t="s">
        <v>272</v>
      </c>
      <c r="D147" s="322" t="e">
        <f>(D146-D144)/D145</f>
        <v>#DIV/0!</v>
      </c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29"/>
      <c r="AU147" s="229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29"/>
      <c r="BF147" s="229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29"/>
      <c r="BQ147" s="229"/>
      <c r="BR147" s="229"/>
      <c r="BS147" s="229"/>
      <c r="BT147" s="229"/>
      <c r="BU147" s="229"/>
      <c r="BV147" s="229"/>
      <c r="BW147" s="229"/>
      <c r="BX147" s="229"/>
    </row>
    <row r="148" spans="3:76" hidden="1">
      <c r="E148" s="229"/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  <c r="U148" s="229"/>
      <c r="V148" s="229"/>
      <c r="W148" s="229"/>
      <c r="X148" s="229"/>
      <c r="Y148" s="229"/>
      <c r="Z148" s="229"/>
      <c r="AA148" s="229"/>
      <c r="AB148" s="229"/>
      <c r="AC148" s="229"/>
      <c r="AD148" s="229"/>
      <c r="AE148" s="229"/>
      <c r="AF148" s="229"/>
      <c r="AG148" s="229"/>
      <c r="AH148" s="229"/>
      <c r="AI148" s="229"/>
      <c r="AJ148" s="229"/>
      <c r="AK148" s="229"/>
      <c r="AL148" s="229"/>
      <c r="AM148" s="229"/>
      <c r="AN148" s="229"/>
      <c r="AO148" s="229"/>
      <c r="AP148" s="229"/>
      <c r="AQ148" s="229"/>
      <c r="AR148" s="229"/>
      <c r="AS148" s="229"/>
      <c r="AT148" s="229"/>
      <c r="AU148" s="229"/>
      <c r="AV148" s="229"/>
      <c r="AW148" s="229"/>
      <c r="AX148" s="229"/>
      <c r="AY148" s="229"/>
      <c r="AZ148" s="229"/>
      <c r="BA148" s="229"/>
      <c r="BB148" s="229"/>
      <c r="BC148" s="229"/>
      <c r="BD148" s="229"/>
      <c r="BE148" s="229"/>
      <c r="BF148" s="229"/>
      <c r="BG148" s="229"/>
      <c r="BH148" s="229"/>
      <c r="BI148" s="229"/>
      <c r="BJ148" s="229"/>
      <c r="BK148" s="229"/>
      <c r="BL148" s="229"/>
      <c r="BM148" s="229"/>
      <c r="BN148" s="229"/>
      <c r="BO148" s="229"/>
      <c r="BP148" s="229"/>
      <c r="BQ148" s="229"/>
      <c r="BR148" s="229"/>
      <c r="BS148" s="229"/>
      <c r="BT148" s="229"/>
      <c r="BU148" s="229"/>
      <c r="BV148" s="229"/>
      <c r="BW148" s="229"/>
      <c r="BX148" s="229"/>
    </row>
    <row r="149" spans="3:76" hidden="1">
      <c r="E149" s="229"/>
      <c r="F149" s="229"/>
      <c r="G149" s="229"/>
      <c r="H149" s="229"/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29"/>
      <c r="U149" s="229"/>
      <c r="V149" s="229"/>
      <c r="W149" s="229"/>
      <c r="X149" s="229"/>
      <c r="Y149" s="229"/>
      <c r="Z149" s="229"/>
      <c r="AA149" s="229"/>
      <c r="AB149" s="229"/>
      <c r="AC149" s="229"/>
      <c r="AD149" s="229"/>
      <c r="AE149" s="229"/>
      <c r="AF149" s="229"/>
      <c r="AG149" s="229"/>
      <c r="AH149" s="229"/>
      <c r="AI149" s="229"/>
      <c r="AJ149" s="229"/>
      <c r="AK149" s="229"/>
      <c r="AL149" s="229"/>
      <c r="AM149" s="229"/>
      <c r="AN149" s="229"/>
      <c r="AO149" s="229"/>
      <c r="AP149" s="229"/>
      <c r="AQ149" s="229"/>
      <c r="AR149" s="229"/>
      <c r="AS149" s="229"/>
      <c r="AT149" s="229"/>
      <c r="AU149" s="229"/>
      <c r="AV149" s="229"/>
      <c r="AW149" s="229"/>
      <c r="AX149" s="229"/>
      <c r="AY149" s="229"/>
      <c r="AZ149" s="229"/>
      <c r="BA149" s="229"/>
      <c r="BB149" s="229"/>
      <c r="BC149" s="229"/>
      <c r="BD149" s="229"/>
      <c r="BE149" s="229"/>
      <c r="BF149" s="229"/>
      <c r="BG149" s="229"/>
      <c r="BH149" s="229"/>
      <c r="BI149" s="229"/>
      <c r="BJ149" s="229"/>
      <c r="BK149" s="229"/>
      <c r="BL149" s="229"/>
      <c r="BM149" s="229"/>
      <c r="BN149" s="229"/>
      <c r="BO149" s="229"/>
      <c r="BP149" s="229"/>
      <c r="BQ149" s="229"/>
      <c r="BR149" s="229"/>
      <c r="BS149" s="229"/>
      <c r="BT149" s="229"/>
      <c r="BU149" s="229"/>
      <c r="BV149" s="229"/>
      <c r="BW149" s="229"/>
      <c r="BX149" s="229"/>
    </row>
    <row r="150" spans="3:76" hidden="1">
      <c r="E150" s="229"/>
      <c r="F150" s="229"/>
      <c r="G150" s="229"/>
      <c r="H150" s="229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  <c r="U150" s="229"/>
      <c r="V150" s="229"/>
      <c r="W150" s="229"/>
      <c r="X150" s="229"/>
      <c r="Y150" s="229"/>
      <c r="Z150" s="229"/>
      <c r="AA150" s="229"/>
      <c r="AB150" s="229"/>
      <c r="AC150" s="229"/>
      <c r="AD150" s="229"/>
      <c r="AE150" s="229"/>
      <c r="AF150" s="229"/>
      <c r="AG150" s="229"/>
      <c r="AH150" s="229"/>
      <c r="AI150" s="229"/>
      <c r="AJ150" s="229"/>
      <c r="AK150" s="229"/>
      <c r="AL150" s="229"/>
      <c r="AM150" s="229"/>
      <c r="AN150" s="229"/>
      <c r="AO150" s="229"/>
      <c r="AP150" s="229"/>
      <c r="AQ150" s="229"/>
      <c r="AR150" s="229"/>
      <c r="AS150" s="229"/>
      <c r="AT150" s="229"/>
      <c r="AU150" s="229"/>
      <c r="AV150" s="229"/>
      <c r="AW150" s="229"/>
      <c r="AX150" s="229"/>
      <c r="AY150" s="229"/>
      <c r="AZ150" s="229"/>
      <c r="BA150" s="229"/>
      <c r="BB150" s="229"/>
      <c r="BC150" s="229"/>
      <c r="BD150" s="229"/>
      <c r="BE150" s="229"/>
      <c r="BF150" s="229"/>
      <c r="BG150" s="229"/>
      <c r="BH150" s="229"/>
      <c r="BI150" s="229"/>
      <c r="BJ150" s="229"/>
      <c r="BK150" s="229"/>
      <c r="BL150" s="229"/>
      <c r="BM150" s="229"/>
      <c r="BN150" s="229"/>
      <c r="BO150" s="229"/>
      <c r="BP150" s="229"/>
      <c r="BQ150" s="229"/>
      <c r="BR150" s="229"/>
      <c r="BS150" s="229"/>
      <c r="BT150" s="229"/>
      <c r="BU150" s="229"/>
      <c r="BV150" s="229"/>
      <c r="BW150" s="229"/>
      <c r="BX150" s="229"/>
    </row>
    <row r="151" spans="3:76" hidden="1">
      <c r="E151" s="229"/>
      <c r="F151" s="229"/>
      <c r="G151" s="229"/>
      <c r="H151" s="229"/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29"/>
      <c r="U151" s="229"/>
      <c r="V151" s="229"/>
      <c r="W151" s="229"/>
      <c r="X151" s="229"/>
      <c r="Y151" s="229"/>
      <c r="Z151" s="229"/>
      <c r="AA151" s="229"/>
      <c r="AB151" s="229"/>
      <c r="AC151" s="229"/>
      <c r="AD151" s="229"/>
      <c r="AE151" s="229"/>
      <c r="AF151" s="229"/>
      <c r="AG151" s="229"/>
      <c r="AH151" s="229"/>
      <c r="AI151" s="229"/>
      <c r="AJ151" s="229"/>
      <c r="AK151" s="229"/>
      <c r="AL151" s="229"/>
      <c r="AM151" s="229"/>
      <c r="AN151" s="229"/>
      <c r="AO151" s="229"/>
      <c r="AP151" s="229"/>
      <c r="AQ151" s="229"/>
      <c r="AR151" s="229"/>
      <c r="AS151" s="229"/>
      <c r="AT151" s="229"/>
      <c r="AU151" s="229"/>
      <c r="AV151" s="229"/>
      <c r="AW151" s="229"/>
      <c r="AX151" s="229"/>
      <c r="AY151" s="229"/>
      <c r="AZ151" s="229"/>
      <c r="BA151" s="229"/>
      <c r="BB151" s="229"/>
      <c r="BC151" s="229"/>
      <c r="BD151" s="229"/>
      <c r="BE151" s="229"/>
      <c r="BF151" s="229"/>
      <c r="BG151" s="229"/>
      <c r="BH151" s="229"/>
      <c r="BI151" s="229"/>
      <c r="BJ151" s="229"/>
      <c r="BK151" s="229"/>
      <c r="BL151" s="229"/>
      <c r="BM151" s="229"/>
      <c r="BN151" s="229"/>
      <c r="BO151" s="229"/>
      <c r="BP151" s="229"/>
      <c r="BQ151" s="229"/>
      <c r="BR151" s="229"/>
      <c r="BS151" s="229"/>
      <c r="BT151" s="229"/>
      <c r="BU151" s="229"/>
      <c r="BV151" s="229"/>
      <c r="BW151" s="229"/>
      <c r="BX151" s="229"/>
    </row>
    <row r="152" spans="3:76" hidden="1" collapsed="1">
      <c r="C152" s="308" t="s">
        <v>278</v>
      </c>
      <c r="D152" s="309"/>
      <c r="E152" s="310">
        <f t="shared" ref="E152:BX152" si="68">-(E8+E77)</f>
        <v>0</v>
      </c>
      <c r="F152" s="310">
        <f t="shared" si="68"/>
        <v>0</v>
      </c>
      <c r="G152" s="310">
        <f t="shared" si="68"/>
        <v>0</v>
      </c>
      <c r="H152" s="310">
        <f t="shared" si="68"/>
        <v>0</v>
      </c>
      <c r="I152" s="310">
        <f t="shared" si="68"/>
        <v>0</v>
      </c>
      <c r="J152" s="310">
        <f t="shared" si="68"/>
        <v>0</v>
      </c>
      <c r="K152" s="310">
        <f t="shared" si="68"/>
        <v>0</v>
      </c>
      <c r="L152" s="310">
        <f t="shared" si="68"/>
        <v>0</v>
      </c>
      <c r="M152" s="310">
        <f t="shared" si="68"/>
        <v>0</v>
      </c>
      <c r="N152" s="310">
        <f t="shared" si="68"/>
        <v>0</v>
      </c>
      <c r="O152" s="310">
        <f t="shared" si="68"/>
        <v>0</v>
      </c>
      <c r="P152" s="310">
        <f t="shared" si="68"/>
        <v>0</v>
      </c>
      <c r="Q152" s="310">
        <f t="shared" si="68"/>
        <v>0</v>
      </c>
      <c r="R152" s="310">
        <f t="shared" si="68"/>
        <v>0</v>
      </c>
      <c r="S152" s="310">
        <f t="shared" si="68"/>
        <v>0</v>
      </c>
      <c r="T152" s="310">
        <f t="shared" si="68"/>
        <v>0</v>
      </c>
      <c r="U152" s="310">
        <f t="shared" si="68"/>
        <v>0</v>
      </c>
      <c r="V152" s="310">
        <f t="shared" si="68"/>
        <v>0</v>
      </c>
      <c r="W152" s="310">
        <f t="shared" si="68"/>
        <v>0</v>
      </c>
      <c r="X152" s="310">
        <f t="shared" si="68"/>
        <v>0</v>
      </c>
      <c r="Y152" s="310">
        <f t="shared" si="68"/>
        <v>0</v>
      </c>
      <c r="Z152" s="310">
        <f t="shared" si="68"/>
        <v>0</v>
      </c>
      <c r="AA152" s="310">
        <f t="shared" si="68"/>
        <v>0</v>
      </c>
      <c r="AB152" s="310">
        <f t="shared" si="68"/>
        <v>0</v>
      </c>
      <c r="AC152" s="310">
        <f t="shared" si="68"/>
        <v>0</v>
      </c>
      <c r="AD152" s="310">
        <f t="shared" si="68"/>
        <v>0</v>
      </c>
      <c r="AE152" s="310">
        <f t="shared" si="68"/>
        <v>0</v>
      </c>
      <c r="AF152" s="310">
        <f t="shared" si="68"/>
        <v>0</v>
      </c>
      <c r="AG152" s="310">
        <f t="shared" si="68"/>
        <v>0</v>
      </c>
      <c r="AH152" s="310">
        <f t="shared" si="68"/>
        <v>0</v>
      </c>
      <c r="AI152" s="310">
        <f t="shared" si="68"/>
        <v>0</v>
      </c>
      <c r="AJ152" s="310">
        <f t="shared" si="68"/>
        <v>0</v>
      </c>
      <c r="AK152" s="310">
        <f t="shared" si="68"/>
        <v>0</v>
      </c>
      <c r="AL152" s="310">
        <f t="shared" si="68"/>
        <v>0</v>
      </c>
      <c r="AM152" s="310">
        <f t="shared" si="68"/>
        <v>0</v>
      </c>
      <c r="AN152" s="310">
        <f t="shared" si="68"/>
        <v>0</v>
      </c>
      <c r="AO152" s="310">
        <f t="shared" si="68"/>
        <v>0</v>
      </c>
      <c r="AP152" s="310">
        <f t="shared" si="68"/>
        <v>0</v>
      </c>
      <c r="AQ152" s="310">
        <f t="shared" si="68"/>
        <v>0</v>
      </c>
      <c r="AR152" s="310">
        <f t="shared" si="68"/>
        <v>0</v>
      </c>
      <c r="AS152" s="310">
        <f t="shared" si="68"/>
        <v>0</v>
      </c>
      <c r="AT152" s="310">
        <f t="shared" si="68"/>
        <v>0</v>
      </c>
      <c r="AU152" s="310">
        <f t="shared" si="68"/>
        <v>0</v>
      </c>
      <c r="AV152" s="310">
        <f t="shared" si="68"/>
        <v>0</v>
      </c>
      <c r="AW152" s="310">
        <f t="shared" si="68"/>
        <v>0</v>
      </c>
      <c r="AX152" s="310">
        <f t="shared" si="68"/>
        <v>0</v>
      </c>
      <c r="AY152" s="310">
        <f t="shared" si="68"/>
        <v>0</v>
      </c>
      <c r="AZ152" s="310">
        <f t="shared" si="68"/>
        <v>0</v>
      </c>
      <c r="BA152" s="310">
        <f t="shared" si="68"/>
        <v>0</v>
      </c>
      <c r="BB152" s="310">
        <f t="shared" si="68"/>
        <v>0</v>
      </c>
      <c r="BC152" s="310">
        <f t="shared" si="68"/>
        <v>0</v>
      </c>
      <c r="BD152" s="310">
        <f t="shared" si="68"/>
        <v>0</v>
      </c>
      <c r="BE152" s="310">
        <f t="shared" si="68"/>
        <v>0</v>
      </c>
      <c r="BF152" s="310">
        <f t="shared" si="68"/>
        <v>0</v>
      </c>
      <c r="BG152" s="310">
        <f t="shared" si="68"/>
        <v>0</v>
      </c>
      <c r="BH152" s="310">
        <f t="shared" si="68"/>
        <v>0</v>
      </c>
      <c r="BI152" s="310">
        <f t="shared" si="68"/>
        <v>0</v>
      </c>
      <c r="BJ152" s="310">
        <f t="shared" si="68"/>
        <v>0</v>
      </c>
      <c r="BK152" s="310">
        <f t="shared" si="68"/>
        <v>0</v>
      </c>
      <c r="BL152" s="310">
        <f t="shared" si="68"/>
        <v>0</v>
      </c>
      <c r="BM152" s="310">
        <f t="shared" si="68"/>
        <v>0</v>
      </c>
      <c r="BN152" s="310">
        <f t="shared" si="68"/>
        <v>0</v>
      </c>
      <c r="BO152" s="310">
        <f t="shared" si="68"/>
        <v>0</v>
      </c>
      <c r="BP152" s="310">
        <f t="shared" si="68"/>
        <v>0</v>
      </c>
      <c r="BQ152" s="310">
        <f t="shared" si="68"/>
        <v>0</v>
      </c>
      <c r="BR152" s="310">
        <f t="shared" si="68"/>
        <v>0</v>
      </c>
      <c r="BS152" s="310">
        <f t="shared" si="68"/>
        <v>0</v>
      </c>
      <c r="BT152" s="310">
        <f t="shared" si="68"/>
        <v>0</v>
      </c>
      <c r="BU152" s="310">
        <f t="shared" si="68"/>
        <v>0</v>
      </c>
      <c r="BV152" s="310">
        <f t="shared" si="68"/>
        <v>0</v>
      </c>
      <c r="BW152" s="310">
        <f t="shared" si="68"/>
        <v>0</v>
      </c>
      <c r="BX152" s="310">
        <f t="shared" si="68"/>
        <v>0</v>
      </c>
    </row>
    <row r="153" spans="3:76" hidden="1" outlineLevel="1">
      <c r="C153" s="308" t="s">
        <v>274</v>
      </c>
      <c r="D153" s="317"/>
      <c r="E153" s="309"/>
      <c r="F153" s="309"/>
      <c r="G153" s="309"/>
      <c r="H153" s="309"/>
      <c r="I153" s="309"/>
      <c r="J153" s="309"/>
      <c r="K153" s="309"/>
      <c r="L153" s="309"/>
      <c r="M153" s="309"/>
      <c r="N153" s="309"/>
      <c r="O153" s="309"/>
      <c r="P153" s="309"/>
      <c r="Q153" s="309"/>
      <c r="R153" s="309"/>
      <c r="S153" s="309"/>
      <c r="T153" s="309"/>
      <c r="U153" s="309"/>
      <c r="V153" s="309"/>
      <c r="W153" s="309"/>
      <c r="X153" s="309"/>
      <c r="Y153" s="309"/>
      <c r="Z153" s="309"/>
      <c r="AA153" s="309"/>
      <c r="AB153" s="309"/>
      <c r="AC153" s="309"/>
      <c r="AD153" s="309"/>
      <c r="AE153" s="309"/>
      <c r="AF153" s="309"/>
      <c r="AG153" s="309"/>
      <c r="AH153" s="309"/>
      <c r="AI153" s="309"/>
      <c r="AJ153" s="309"/>
      <c r="AK153" s="309"/>
      <c r="AL153" s="309"/>
      <c r="AM153" s="309"/>
      <c r="AN153" s="309"/>
      <c r="AO153" s="309"/>
      <c r="AP153" s="309"/>
      <c r="AQ153" s="309"/>
      <c r="AR153" s="309"/>
      <c r="AS153" s="309"/>
      <c r="AT153" s="309"/>
      <c r="AU153" s="309"/>
      <c r="AV153" s="309"/>
      <c r="AW153" s="309"/>
      <c r="AX153" s="309"/>
      <c r="AY153" s="309"/>
      <c r="AZ153" s="309"/>
      <c r="BA153" s="309"/>
      <c r="BB153" s="309"/>
      <c r="BC153" s="310"/>
      <c r="BD153" s="309"/>
      <c r="BE153" s="309"/>
      <c r="BF153" s="309"/>
      <c r="BG153" s="309"/>
      <c r="BH153" s="309"/>
      <c r="BI153" s="309"/>
      <c r="BJ153" s="309"/>
      <c r="BK153" s="309"/>
      <c r="BL153" s="309"/>
      <c r="BM153" s="309"/>
      <c r="BN153" s="309"/>
      <c r="BO153" s="309"/>
      <c r="BP153" s="309"/>
      <c r="BQ153" s="309"/>
      <c r="BR153" s="309"/>
      <c r="BS153" s="309"/>
      <c r="BT153" s="309"/>
      <c r="BU153" s="309"/>
      <c r="BV153" s="309"/>
      <c r="BW153" s="309"/>
      <c r="BX153" s="309"/>
    </row>
    <row r="154" spans="3:76" hidden="1" outlineLevel="1">
      <c r="C154" s="308" t="s">
        <v>265</v>
      </c>
      <c r="D154" s="317"/>
      <c r="E154" s="309">
        <f t="shared" ref="E154:BX154" si="69">-E58</f>
        <v>0</v>
      </c>
      <c r="F154" s="309">
        <f t="shared" si="69"/>
        <v>0</v>
      </c>
      <c r="G154" s="309">
        <f t="shared" si="69"/>
        <v>0</v>
      </c>
      <c r="H154" s="309">
        <f t="shared" si="69"/>
        <v>0</v>
      </c>
      <c r="I154" s="309">
        <f t="shared" si="69"/>
        <v>0</v>
      </c>
      <c r="J154" s="309">
        <f t="shared" si="69"/>
        <v>0</v>
      </c>
      <c r="K154" s="309">
        <f t="shared" si="69"/>
        <v>0</v>
      </c>
      <c r="L154" s="309">
        <f t="shared" si="69"/>
        <v>0</v>
      </c>
      <c r="M154" s="309">
        <f t="shared" si="69"/>
        <v>0</v>
      </c>
      <c r="N154" s="309">
        <f t="shared" si="69"/>
        <v>0</v>
      </c>
      <c r="O154" s="309">
        <f t="shared" si="69"/>
        <v>0</v>
      </c>
      <c r="P154" s="309">
        <f t="shared" si="69"/>
        <v>0</v>
      </c>
      <c r="Q154" s="309">
        <f t="shared" si="69"/>
        <v>0</v>
      </c>
      <c r="R154" s="309">
        <f t="shared" si="69"/>
        <v>0</v>
      </c>
      <c r="S154" s="309">
        <f t="shared" si="69"/>
        <v>0</v>
      </c>
      <c r="T154" s="309">
        <f t="shared" si="69"/>
        <v>0</v>
      </c>
      <c r="U154" s="309">
        <f t="shared" si="69"/>
        <v>0</v>
      </c>
      <c r="V154" s="309">
        <f t="shared" si="69"/>
        <v>0</v>
      </c>
      <c r="W154" s="309">
        <f t="shared" si="69"/>
        <v>0</v>
      </c>
      <c r="X154" s="309">
        <f t="shared" si="69"/>
        <v>0</v>
      </c>
      <c r="Y154" s="309">
        <f t="shared" si="69"/>
        <v>0</v>
      </c>
      <c r="Z154" s="309">
        <f t="shared" si="69"/>
        <v>0</v>
      </c>
      <c r="AA154" s="309">
        <f t="shared" si="69"/>
        <v>0</v>
      </c>
      <c r="AB154" s="309">
        <f t="shared" si="69"/>
        <v>0</v>
      </c>
      <c r="AC154" s="309">
        <f t="shared" si="69"/>
        <v>0</v>
      </c>
      <c r="AD154" s="309">
        <f t="shared" si="69"/>
        <v>0</v>
      </c>
      <c r="AE154" s="309">
        <f t="shared" si="69"/>
        <v>0</v>
      </c>
      <c r="AF154" s="309">
        <f t="shared" si="69"/>
        <v>0</v>
      </c>
      <c r="AG154" s="309">
        <f t="shared" si="69"/>
        <v>0</v>
      </c>
      <c r="AH154" s="309">
        <f t="shared" si="69"/>
        <v>0</v>
      </c>
      <c r="AI154" s="309">
        <f t="shared" si="69"/>
        <v>0</v>
      </c>
      <c r="AJ154" s="309">
        <f t="shared" si="69"/>
        <v>0</v>
      </c>
      <c r="AK154" s="309">
        <f t="shared" si="69"/>
        <v>0</v>
      </c>
      <c r="AL154" s="309">
        <f t="shared" si="69"/>
        <v>0</v>
      </c>
      <c r="AM154" s="309">
        <f t="shared" si="69"/>
        <v>0</v>
      </c>
      <c r="AN154" s="309">
        <f t="shared" si="69"/>
        <v>0</v>
      </c>
      <c r="AO154" s="309">
        <f t="shared" si="69"/>
        <v>0</v>
      </c>
      <c r="AP154" s="309">
        <f t="shared" si="69"/>
        <v>0</v>
      </c>
      <c r="AQ154" s="309">
        <f t="shared" si="69"/>
        <v>0</v>
      </c>
      <c r="AR154" s="309">
        <f t="shared" si="69"/>
        <v>0</v>
      </c>
      <c r="AS154" s="309">
        <f t="shared" si="69"/>
        <v>0</v>
      </c>
      <c r="AT154" s="309">
        <f t="shared" si="69"/>
        <v>0</v>
      </c>
      <c r="AU154" s="309">
        <f t="shared" si="69"/>
        <v>0</v>
      </c>
      <c r="AV154" s="309">
        <f t="shared" si="69"/>
        <v>0</v>
      </c>
      <c r="AW154" s="309">
        <f t="shared" si="69"/>
        <v>0</v>
      </c>
      <c r="AX154" s="309">
        <f t="shared" si="69"/>
        <v>0</v>
      </c>
      <c r="AY154" s="309">
        <f t="shared" si="69"/>
        <v>0</v>
      </c>
      <c r="AZ154" s="309">
        <f t="shared" si="69"/>
        <v>0</v>
      </c>
      <c r="BA154" s="309">
        <f t="shared" si="69"/>
        <v>0</v>
      </c>
      <c r="BB154" s="309">
        <f t="shared" si="69"/>
        <v>0</v>
      </c>
      <c r="BC154" s="309">
        <f t="shared" si="69"/>
        <v>0</v>
      </c>
      <c r="BD154" s="309">
        <f t="shared" si="69"/>
        <v>0</v>
      </c>
      <c r="BE154" s="309">
        <f t="shared" si="69"/>
        <v>0</v>
      </c>
      <c r="BF154" s="309">
        <f t="shared" si="69"/>
        <v>0</v>
      </c>
      <c r="BG154" s="309">
        <f t="shared" si="69"/>
        <v>0</v>
      </c>
      <c r="BH154" s="309">
        <f t="shared" si="69"/>
        <v>0</v>
      </c>
      <c r="BI154" s="309">
        <f t="shared" si="69"/>
        <v>0</v>
      </c>
      <c r="BJ154" s="309">
        <f t="shared" si="69"/>
        <v>0</v>
      </c>
      <c r="BK154" s="309">
        <f t="shared" si="69"/>
        <v>0</v>
      </c>
      <c r="BL154" s="309">
        <f t="shared" si="69"/>
        <v>0</v>
      </c>
      <c r="BM154" s="309">
        <f t="shared" si="69"/>
        <v>0</v>
      </c>
      <c r="BN154" s="309">
        <f t="shared" si="69"/>
        <v>0</v>
      </c>
      <c r="BO154" s="309">
        <f t="shared" si="69"/>
        <v>0</v>
      </c>
      <c r="BP154" s="309">
        <f t="shared" si="69"/>
        <v>0</v>
      </c>
      <c r="BQ154" s="309">
        <f t="shared" si="69"/>
        <v>0</v>
      </c>
      <c r="BR154" s="309">
        <f t="shared" si="69"/>
        <v>0</v>
      </c>
      <c r="BS154" s="309">
        <f t="shared" si="69"/>
        <v>0</v>
      </c>
      <c r="BT154" s="309">
        <f t="shared" si="69"/>
        <v>0</v>
      </c>
      <c r="BU154" s="309">
        <f t="shared" si="69"/>
        <v>0</v>
      </c>
      <c r="BV154" s="309">
        <f t="shared" si="69"/>
        <v>0</v>
      </c>
      <c r="BW154" s="309">
        <f t="shared" si="69"/>
        <v>0</v>
      </c>
      <c r="BX154" s="309">
        <f t="shared" si="69"/>
        <v>0</v>
      </c>
    </row>
    <row r="155" spans="3:76" hidden="1" outlineLevel="1">
      <c r="C155" s="308" t="s">
        <v>266</v>
      </c>
      <c r="D155" s="317"/>
      <c r="E155" s="309"/>
      <c r="F155" s="309"/>
      <c r="G155" s="309"/>
      <c r="H155" s="309"/>
      <c r="I155" s="309"/>
      <c r="J155" s="309"/>
      <c r="K155" s="309"/>
      <c r="L155" s="309"/>
      <c r="M155" s="309"/>
      <c r="N155" s="309"/>
      <c r="O155" s="309"/>
      <c r="P155" s="309"/>
      <c r="Q155" s="309"/>
      <c r="R155" s="309"/>
      <c r="S155" s="309"/>
      <c r="T155" s="309"/>
      <c r="U155" s="309"/>
      <c r="V155" s="309"/>
      <c r="W155" s="309"/>
      <c r="X155" s="309"/>
      <c r="Y155" s="309"/>
      <c r="Z155" s="309"/>
      <c r="AA155" s="309"/>
      <c r="AB155" s="309"/>
      <c r="AC155" s="309"/>
      <c r="AD155" s="309"/>
      <c r="AE155" s="309"/>
      <c r="AF155" s="309"/>
      <c r="AG155" s="309"/>
      <c r="AH155" s="309"/>
      <c r="AI155" s="309"/>
      <c r="AJ155" s="309"/>
      <c r="AK155" s="309"/>
      <c r="AL155" s="309"/>
      <c r="AM155" s="309"/>
      <c r="AN155" s="309"/>
      <c r="AO155" s="309"/>
      <c r="AP155" s="309"/>
      <c r="AQ155" s="309"/>
      <c r="AR155" s="309"/>
      <c r="AS155" s="309"/>
      <c r="AT155" s="309"/>
      <c r="AU155" s="309"/>
      <c r="AV155" s="309"/>
      <c r="AW155" s="309"/>
      <c r="AX155" s="309"/>
      <c r="AY155" s="309"/>
      <c r="AZ155" s="309"/>
      <c r="BA155" s="309"/>
      <c r="BB155" s="309"/>
      <c r="BC155" s="310"/>
      <c r="BD155" s="309"/>
      <c r="BE155" s="309"/>
      <c r="BF155" s="309"/>
      <c r="BG155" s="309"/>
      <c r="BH155" s="309"/>
      <c r="BI155" s="309"/>
      <c r="BJ155" s="309"/>
      <c r="BK155" s="309"/>
      <c r="BL155" s="309"/>
      <c r="BM155" s="309"/>
      <c r="BN155" s="309"/>
      <c r="BO155" s="309"/>
      <c r="BP155" s="309"/>
      <c r="BQ155" s="309"/>
      <c r="BR155" s="309"/>
      <c r="BS155" s="309"/>
      <c r="BT155" s="309"/>
      <c r="BU155" s="309"/>
      <c r="BV155" s="309"/>
      <c r="BW155" s="309"/>
      <c r="BX155" s="309">
        <f>IF(D90&gt;0.25,(BX84-BX93)*D156,BX84*D156)</f>
        <v>0</v>
      </c>
    </row>
    <row r="156" spans="3:76" hidden="1" outlineLevel="1">
      <c r="C156" s="311" t="s">
        <v>267</v>
      </c>
      <c r="D156" s="317">
        <v>0</v>
      </c>
      <c r="E156" s="309"/>
      <c r="F156" s="309"/>
      <c r="G156" s="309"/>
      <c r="H156" s="309"/>
      <c r="I156" s="309"/>
      <c r="J156" s="309"/>
      <c r="K156" s="309"/>
      <c r="L156" s="309"/>
      <c r="M156" s="309"/>
      <c r="N156" s="309"/>
      <c r="O156" s="309"/>
      <c r="P156" s="309"/>
      <c r="Q156" s="309"/>
      <c r="R156" s="309"/>
      <c r="S156" s="309"/>
      <c r="T156" s="309"/>
      <c r="U156" s="309"/>
      <c r="V156" s="309"/>
      <c r="W156" s="309"/>
      <c r="X156" s="309"/>
      <c r="Y156" s="309"/>
      <c r="Z156" s="309"/>
      <c r="AA156" s="309"/>
      <c r="AB156" s="309"/>
      <c r="AC156" s="309"/>
      <c r="AD156" s="309"/>
      <c r="AE156" s="309"/>
      <c r="AF156" s="309"/>
      <c r="AG156" s="309"/>
      <c r="AH156" s="309"/>
      <c r="AI156" s="309"/>
      <c r="AJ156" s="309"/>
      <c r="AK156" s="309"/>
      <c r="AL156" s="309"/>
      <c r="AM156" s="309"/>
      <c r="AN156" s="309"/>
      <c r="AO156" s="309"/>
      <c r="AP156" s="309"/>
      <c r="AQ156" s="309"/>
      <c r="AR156" s="309"/>
      <c r="AS156" s="309"/>
      <c r="AT156" s="309"/>
      <c r="AU156" s="309"/>
      <c r="AV156" s="309"/>
      <c r="AW156" s="309"/>
      <c r="AX156" s="309"/>
      <c r="AY156" s="309"/>
      <c r="AZ156" s="309"/>
      <c r="BA156" s="309"/>
      <c r="BB156" s="309"/>
      <c r="BC156" s="310"/>
      <c r="BD156" s="309"/>
      <c r="BE156" s="309"/>
      <c r="BF156" s="309"/>
      <c r="BG156" s="309"/>
      <c r="BH156" s="309"/>
      <c r="BI156" s="309"/>
      <c r="BJ156" s="309"/>
      <c r="BK156" s="309"/>
      <c r="BL156" s="309"/>
      <c r="BM156" s="309"/>
      <c r="BN156" s="309"/>
      <c r="BO156" s="309"/>
      <c r="BP156" s="309"/>
      <c r="BQ156" s="309"/>
      <c r="BR156" s="309"/>
      <c r="BS156" s="309"/>
      <c r="BT156" s="309"/>
      <c r="BU156" s="309"/>
      <c r="BV156" s="309"/>
      <c r="BW156" s="309"/>
      <c r="BX156" s="309"/>
    </row>
    <row r="157" spans="3:76" hidden="1" outlineLevel="1">
      <c r="C157" s="308" t="s">
        <v>268</v>
      </c>
      <c r="D157" s="309"/>
      <c r="E157" s="319">
        <f t="shared" ref="E157:BX157" si="70">E152+E153+E154+E155+E156</f>
        <v>0</v>
      </c>
      <c r="F157" s="319">
        <f t="shared" si="70"/>
        <v>0</v>
      </c>
      <c r="G157" s="319">
        <f t="shared" si="70"/>
        <v>0</v>
      </c>
      <c r="H157" s="319">
        <f t="shared" si="70"/>
        <v>0</v>
      </c>
      <c r="I157" s="319">
        <f t="shared" si="70"/>
        <v>0</v>
      </c>
      <c r="J157" s="319">
        <f t="shared" si="70"/>
        <v>0</v>
      </c>
      <c r="K157" s="319">
        <f t="shared" si="70"/>
        <v>0</v>
      </c>
      <c r="L157" s="319">
        <f t="shared" si="70"/>
        <v>0</v>
      </c>
      <c r="M157" s="319">
        <f t="shared" si="70"/>
        <v>0</v>
      </c>
      <c r="N157" s="319">
        <f t="shared" si="70"/>
        <v>0</v>
      </c>
      <c r="O157" s="319">
        <f t="shared" si="70"/>
        <v>0</v>
      </c>
      <c r="P157" s="319">
        <f t="shared" si="70"/>
        <v>0</v>
      </c>
      <c r="Q157" s="319">
        <f t="shared" si="70"/>
        <v>0</v>
      </c>
      <c r="R157" s="319">
        <f t="shared" si="70"/>
        <v>0</v>
      </c>
      <c r="S157" s="319">
        <f t="shared" si="70"/>
        <v>0</v>
      </c>
      <c r="T157" s="319">
        <f t="shared" si="70"/>
        <v>0</v>
      </c>
      <c r="U157" s="319">
        <f t="shared" si="70"/>
        <v>0</v>
      </c>
      <c r="V157" s="319">
        <f t="shared" si="70"/>
        <v>0</v>
      </c>
      <c r="W157" s="319">
        <f t="shared" si="70"/>
        <v>0</v>
      </c>
      <c r="X157" s="319">
        <f t="shared" si="70"/>
        <v>0</v>
      </c>
      <c r="Y157" s="319">
        <f t="shared" si="70"/>
        <v>0</v>
      </c>
      <c r="Z157" s="319">
        <f t="shared" si="70"/>
        <v>0</v>
      </c>
      <c r="AA157" s="319">
        <f t="shared" si="70"/>
        <v>0</v>
      </c>
      <c r="AB157" s="319">
        <f t="shared" si="70"/>
        <v>0</v>
      </c>
      <c r="AC157" s="319">
        <f t="shared" si="70"/>
        <v>0</v>
      </c>
      <c r="AD157" s="319">
        <f t="shared" si="70"/>
        <v>0</v>
      </c>
      <c r="AE157" s="319">
        <f t="shared" si="70"/>
        <v>0</v>
      </c>
      <c r="AF157" s="319">
        <f t="shared" si="70"/>
        <v>0</v>
      </c>
      <c r="AG157" s="319">
        <f t="shared" si="70"/>
        <v>0</v>
      </c>
      <c r="AH157" s="319">
        <f t="shared" si="70"/>
        <v>0</v>
      </c>
      <c r="AI157" s="319">
        <f t="shared" si="70"/>
        <v>0</v>
      </c>
      <c r="AJ157" s="319">
        <f t="shared" si="70"/>
        <v>0</v>
      </c>
      <c r="AK157" s="319">
        <f t="shared" si="70"/>
        <v>0</v>
      </c>
      <c r="AL157" s="319">
        <f t="shared" si="70"/>
        <v>0</v>
      </c>
      <c r="AM157" s="319">
        <f t="shared" si="70"/>
        <v>0</v>
      </c>
      <c r="AN157" s="319">
        <f t="shared" si="70"/>
        <v>0</v>
      </c>
      <c r="AO157" s="319">
        <f t="shared" si="70"/>
        <v>0</v>
      </c>
      <c r="AP157" s="319">
        <f t="shared" si="70"/>
        <v>0</v>
      </c>
      <c r="AQ157" s="319">
        <f t="shared" si="70"/>
        <v>0</v>
      </c>
      <c r="AR157" s="319">
        <f t="shared" si="70"/>
        <v>0</v>
      </c>
      <c r="AS157" s="319">
        <f t="shared" si="70"/>
        <v>0</v>
      </c>
      <c r="AT157" s="319">
        <f t="shared" si="70"/>
        <v>0</v>
      </c>
      <c r="AU157" s="319">
        <f t="shared" si="70"/>
        <v>0</v>
      </c>
      <c r="AV157" s="319">
        <f t="shared" si="70"/>
        <v>0</v>
      </c>
      <c r="AW157" s="319">
        <f t="shared" si="70"/>
        <v>0</v>
      </c>
      <c r="AX157" s="319">
        <f t="shared" si="70"/>
        <v>0</v>
      </c>
      <c r="AY157" s="319">
        <f t="shared" si="70"/>
        <v>0</v>
      </c>
      <c r="AZ157" s="319">
        <f t="shared" si="70"/>
        <v>0</v>
      </c>
      <c r="BA157" s="319">
        <f t="shared" si="70"/>
        <v>0</v>
      </c>
      <c r="BB157" s="319">
        <f t="shared" si="70"/>
        <v>0</v>
      </c>
      <c r="BC157" s="319">
        <f t="shared" si="70"/>
        <v>0</v>
      </c>
      <c r="BD157" s="319">
        <f t="shared" si="70"/>
        <v>0</v>
      </c>
      <c r="BE157" s="319">
        <f t="shared" si="70"/>
        <v>0</v>
      </c>
      <c r="BF157" s="319">
        <f t="shared" si="70"/>
        <v>0</v>
      </c>
      <c r="BG157" s="319">
        <f t="shared" si="70"/>
        <v>0</v>
      </c>
      <c r="BH157" s="319">
        <f t="shared" si="70"/>
        <v>0</v>
      </c>
      <c r="BI157" s="319">
        <f t="shared" si="70"/>
        <v>0</v>
      </c>
      <c r="BJ157" s="319">
        <f t="shared" si="70"/>
        <v>0</v>
      </c>
      <c r="BK157" s="319">
        <f t="shared" si="70"/>
        <v>0</v>
      </c>
      <c r="BL157" s="319">
        <f t="shared" si="70"/>
        <v>0</v>
      </c>
      <c r="BM157" s="319">
        <f t="shared" si="70"/>
        <v>0</v>
      </c>
      <c r="BN157" s="319">
        <f t="shared" si="70"/>
        <v>0</v>
      </c>
      <c r="BO157" s="319">
        <f t="shared" si="70"/>
        <v>0</v>
      </c>
      <c r="BP157" s="319">
        <f t="shared" si="70"/>
        <v>0</v>
      </c>
      <c r="BQ157" s="319">
        <f t="shared" si="70"/>
        <v>0</v>
      </c>
      <c r="BR157" s="319">
        <f t="shared" si="70"/>
        <v>0</v>
      </c>
      <c r="BS157" s="319">
        <f t="shared" si="70"/>
        <v>0</v>
      </c>
      <c r="BT157" s="319">
        <f t="shared" si="70"/>
        <v>0</v>
      </c>
      <c r="BU157" s="319">
        <f t="shared" si="70"/>
        <v>0</v>
      </c>
      <c r="BV157" s="319">
        <f t="shared" si="70"/>
        <v>0</v>
      </c>
      <c r="BW157" s="319">
        <f t="shared" si="70"/>
        <v>0</v>
      </c>
      <c r="BX157" s="319">
        <f t="shared" si="70"/>
        <v>0</v>
      </c>
    </row>
    <row r="158" spans="3:76" hidden="1" outlineLevel="1">
      <c r="C158" s="312"/>
      <c r="D158" s="322" t="s">
        <v>275</v>
      </c>
      <c r="E158" s="321">
        <f>E157</f>
        <v>0</v>
      </c>
      <c r="F158" s="321">
        <f t="shared" ref="F158:BX158" si="71">E158+F157</f>
        <v>0</v>
      </c>
      <c r="G158" s="321">
        <f t="shared" si="71"/>
        <v>0</v>
      </c>
      <c r="H158" s="321">
        <f t="shared" si="71"/>
        <v>0</v>
      </c>
      <c r="I158" s="321">
        <f t="shared" si="71"/>
        <v>0</v>
      </c>
      <c r="J158" s="321">
        <f t="shared" si="71"/>
        <v>0</v>
      </c>
      <c r="K158" s="321">
        <f t="shared" si="71"/>
        <v>0</v>
      </c>
      <c r="L158" s="321">
        <f t="shared" si="71"/>
        <v>0</v>
      </c>
      <c r="M158" s="321">
        <f t="shared" si="71"/>
        <v>0</v>
      </c>
      <c r="N158" s="321">
        <f t="shared" si="71"/>
        <v>0</v>
      </c>
      <c r="O158" s="321">
        <f t="shared" si="71"/>
        <v>0</v>
      </c>
      <c r="P158" s="321">
        <f t="shared" si="71"/>
        <v>0</v>
      </c>
      <c r="Q158" s="321">
        <f t="shared" si="71"/>
        <v>0</v>
      </c>
      <c r="R158" s="321">
        <f t="shared" si="71"/>
        <v>0</v>
      </c>
      <c r="S158" s="321">
        <f t="shared" si="71"/>
        <v>0</v>
      </c>
      <c r="T158" s="321">
        <f t="shared" si="71"/>
        <v>0</v>
      </c>
      <c r="U158" s="321">
        <f t="shared" si="71"/>
        <v>0</v>
      </c>
      <c r="V158" s="327">
        <f t="shared" si="71"/>
        <v>0</v>
      </c>
      <c r="W158" s="327">
        <f t="shared" si="71"/>
        <v>0</v>
      </c>
      <c r="X158" s="327">
        <f t="shared" si="71"/>
        <v>0</v>
      </c>
      <c r="Y158" s="327">
        <f t="shared" si="71"/>
        <v>0</v>
      </c>
      <c r="Z158" s="327">
        <f t="shared" si="71"/>
        <v>0</v>
      </c>
      <c r="AA158" s="327">
        <f t="shared" si="71"/>
        <v>0</v>
      </c>
      <c r="AB158" s="327">
        <f t="shared" si="71"/>
        <v>0</v>
      </c>
      <c r="AC158" s="327">
        <f t="shared" si="71"/>
        <v>0</v>
      </c>
      <c r="AD158" s="327">
        <f t="shared" si="71"/>
        <v>0</v>
      </c>
      <c r="AE158" s="327">
        <f t="shared" si="71"/>
        <v>0</v>
      </c>
      <c r="AF158" s="327">
        <f t="shared" si="71"/>
        <v>0</v>
      </c>
      <c r="AG158" s="327">
        <f t="shared" si="71"/>
        <v>0</v>
      </c>
      <c r="AH158" s="327">
        <f t="shared" si="71"/>
        <v>0</v>
      </c>
      <c r="AI158" s="327">
        <f t="shared" si="71"/>
        <v>0</v>
      </c>
      <c r="AJ158" s="327">
        <f t="shared" si="71"/>
        <v>0</v>
      </c>
      <c r="AK158" s="327">
        <f t="shared" si="71"/>
        <v>0</v>
      </c>
      <c r="AL158" s="327">
        <f t="shared" si="71"/>
        <v>0</v>
      </c>
      <c r="AM158" s="327">
        <f t="shared" si="71"/>
        <v>0</v>
      </c>
      <c r="AN158" s="327">
        <f t="shared" si="71"/>
        <v>0</v>
      </c>
      <c r="AO158" s="327">
        <f t="shared" si="71"/>
        <v>0</v>
      </c>
      <c r="AP158" s="327">
        <f t="shared" si="71"/>
        <v>0</v>
      </c>
      <c r="AQ158" s="327">
        <f t="shared" si="71"/>
        <v>0</v>
      </c>
      <c r="AR158" s="327">
        <f t="shared" si="71"/>
        <v>0</v>
      </c>
      <c r="AS158" s="327">
        <f t="shared" si="71"/>
        <v>0</v>
      </c>
      <c r="AT158" s="327">
        <f t="shared" si="71"/>
        <v>0</v>
      </c>
      <c r="AU158" s="327">
        <f t="shared" si="71"/>
        <v>0</v>
      </c>
      <c r="AV158" s="327">
        <f t="shared" si="71"/>
        <v>0</v>
      </c>
      <c r="AW158" s="327">
        <f t="shared" si="71"/>
        <v>0</v>
      </c>
      <c r="AX158" s="327">
        <f t="shared" si="71"/>
        <v>0</v>
      </c>
      <c r="AY158" s="327">
        <f t="shared" si="71"/>
        <v>0</v>
      </c>
      <c r="AZ158" s="327">
        <f t="shared" si="71"/>
        <v>0</v>
      </c>
      <c r="BA158" s="327">
        <f t="shared" si="71"/>
        <v>0</v>
      </c>
      <c r="BB158" s="327">
        <f t="shared" si="71"/>
        <v>0</v>
      </c>
      <c r="BC158" s="321">
        <f t="shared" si="71"/>
        <v>0</v>
      </c>
      <c r="BD158" s="321">
        <f t="shared" si="71"/>
        <v>0</v>
      </c>
      <c r="BE158" s="321">
        <f t="shared" si="71"/>
        <v>0</v>
      </c>
      <c r="BF158" s="321">
        <f t="shared" si="71"/>
        <v>0</v>
      </c>
      <c r="BG158" s="321">
        <f t="shared" si="71"/>
        <v>0</v>
      </c>
      <c r="BH158" s="321">
        <f t="shared" si="71"/>
        <v>0</v>
      </c>
      <c r="BI158" s="321">
        <f t="shared" si="71"/>
        <v>0</v>
      </c>
      <c r="BJ158" s="321">
        <f t="shared" si="71"/>
        <v>0</v>
      </c>
      <c r="BK158" s="321">
        <f t="shared" si="71"/>
        <v>0</v>
      </c>
      <c r="BL158" s="321">
        <f t="shared" si="71"/>
        <v>0</v>
      </c>
      <c r="BM158" s="321">
        <f t="shared" si="71"/>
        <v>0</v>
      </c>
      <c r="BN158" s="321">
        <f t="shared" si="71"/>
        <v>0</v>
      </c>
      <c r="BO158" s="321">
        <f t="shared" si="71"/>
        <v>0</v>
      </c>
      <c r="BP158" s="321">
        <f t="shared" si="71"/>
        <v>0</v>
      </c>
      <c r="BQ158" s="321">
        <f t="shared" si="71"/>
        <v>0</v>
      </c>
      <c r="BR158" s="321">
        <f t="shared" si="71"/>
        <v>0</v>
      </c>
      <c r="BS158" s="321">
        <f t="shared" si="71"/>
        <v>0</v>
      </c>
      <c r="BT158" s="321">
        <f t="shared" si="71"/>
        <v>0</v>
      </c>
      <c r="BU158" s="321">
        <f t="shared" si="71"/>
        <v>0</v>
      </c>
      <c r="BV158" s="321">
        <f t="shared" si="71"/>
        <v>0</v>
      </c>
      <c r="BW158" s="321">
        <f t="shared" si="71"/>
        <v>0</v>
      </c>
      <c r="BX158" s="321">
        <f t="shared" si="71"/>
        <v>0</v>
      </c>
    </row>
    <row r="159" spans="3:76" hidden="1" outlineLevel="1">
      <c r="C159" s="311" t="s">
        <v>261</v>
      </c>
      <c r="D159" s="322" t="e">
        <f>IRR(E157:BX157)*12</f>
        <v>#NUM!</v>
      </c>
      <c r="E159" s="229"/>
      <c r="F159" s="229"/>
      <c r="G159" s="229"/>
      <c r="H159" s="229"/>
      <c r="I159" s="229"/>
      <c r="J159" s="229"/>
      <c r="K159" s="229"/>
      <c r="L159" s="229"/>
      <c r="M159" s="229"/>
      <c r="N159" s="229"/>
      <c r="O159" s="229"/>
      <c r="P159" s="229"/>
      <c r="Q159" s="229"/>
      <c r="R159" s="229"/>
      <c r="S159" s="229"/>
      <c r="T159" s="229"/>
      <c r="U159" s="229"/>
      <c r="V159" s="229"/>
      <c r="W159" s="229"/>
      <c r="X159" s="229"/>
      <c r="Y159" s="229"/>
      <c r="Z159" s="229"/>
      <c r="AA159" s="229"/>
      <c r="AB159" s="229"/>
      <c r="AC159" s="229"/>
      <c r="AD159" s="229"/>
      <c r="AE159" s="229"/>
      <c r="AF159" s="229"/>
      <c r="AG159" s="229"/>
      <c r="AH159" s="229"/>
      <c r="AI159" s="229"/>
      <c r="AJ159" s="229"/>
      <c r="AK159" s="229"/>
      <c r="AL159" s="229"/>
      <c r="AM159" s="229"/>
      <c r="AN159" s="229"/>
      <c r="AO159" s="229"/>
      <c r="AP159" s="229"/>
      <c r="AQ159" s="229"/>
      <c r="AR159" s="229"/>
      <c r="AS159" s="229"/>
      <c r="AT159" s="229"/>
      <c r="AU159" s="229"/>
      <c r="AV159" s="229"/>
      <c r="AW159" s="229"/>
      <c r="AX159" s="229"/>
      <c r="AY159" s="229"/>
      <c r="AZ159" s="229"/>
      <c r="BA159" s="229"/>
      <c r="BB159" s="229"/>
      <c r="BC159" s="229"/>
      <c r="BD159" s="229"/>
      <c r="BE159" s="229"/>
      <c r="BF159" s="229"/>
      <c r="BG159" s="229"/>
      <c r="BH159" s="229"/>
      <c r="BI159" s="229"/>
      <c r="BJ159" s="229"/>
      <c r="BK159" s="229"/>
      <c r="BL159" s="229"/>
      <c r="BM159" s="229"/>
      <c r="BN159" s="229"/>
      <c r="BO159" s="229"/>
      <c r="BP159" s="229"/>
      <c r="BQ159" s="229"/>
      <c r="BR159" s="229"/>
      <c r="BS159" s="229"/>
      <c r="BT159" s="229"/>
      <c r="BU159" s="229"/>
      <c r="BV159" s="229"/>
      <c r="BW159" s="229"/>
      <c r="BX159" s="229"/>
    </row>
    <row r="160" spans="3:76" hidden="1" outlineLevel="1">
      <c r="C160" s="323" t="s">
        <v>269</v>
      </c>
      <c r="D160" s="324">
        <f>-MIN(M158:BL158)-D161</f>
        <v>0</v>
      </c>
      <c r="E160" s="229"/>
      <c r="F160" s="229"/>
      <c r="G160" s="229"/>
      <c r="H160" s="229"/>
      <c r="I160" s="229"/>
      <c r="J160" s="229"/>
      <c r="K160" s="229"/>
      <c r="L160" s="229"/>
      <c r="M160" s="229"/>
      <c r="N160" s="229"/>
      <c r="O160" s="229"/>
      <c r="P160" s="229"/>
      <c r="Q160" s="229"/>
      <c r="R160" s="229"/>
      <c r="S160" s="229"/>
      <c r="T160" s="229"/>
      <c r="U160" s="229"/>
      <c r="V160" s="229"/>
      <c r="W160" s="229"/>
      <c r="X160" s="229"/>
      <c r="Y160" s="229"/>
      <c r="Z160" s="229"/>
      <c r="AA160" s="229"/>
      <c r="AB160" s="229"/>
      <c r="AC160" s="229"/>
      <c r="AD160" s="229"/>
      <c r="AE160" s="229"/>
      <c r="AF160" s="229"/>
      <c r="AG160" s="229"/>
      <c r="AH160" s="229"/>
      <c r="AI160" s="229"/>
      <c r="AJ160" s="229"/>
      <c r="AK160" s="229"/>
      <c r="AL160" s="229"/>
      <c r="AM160" s="229"/>
      <c r="AN160" s="229"/>
      <c r="AO160" s="229"/>
      <c r="AP160" s="229"/>
      <c r="AQ160" s="229"/>
      <c r="AR160" s="229"/>
      <c r="AS160" s="229"/>
      <c r="AT160" s="229"/>
      <c r="AU160" s="229"/>
      <c r="AV160" s="229"/>
      <c r="AW160" s="229"/>
      <c r="AX160" s="229"/>
      <c r="AY160" s="229"/>
      <c r="AZ160" s="229"/>
      <c r="BA160" s="229"/>
      <c r="BB160" s="229"/>
      <c r="BC160" s="229"/>
      <c r="BD160" s="229"/>
      <c r="BE160" s="229"/>
      <c r="BF160" s="229"/>
      <c r="BG160" s="229"/>
      <c r="BH160" s="229"/>
      <c r="BI160" s="229"/>
      <c r="BJ160" s="229"/>
      <c r="BK160" s="229"/>
      <c r="BL160" s="229"/>
      <c r="BM160" s="229"/>
      <c r="BN160" s="229"/>
      <c r="BO160" s="229"/>
      <c r="BP160" s="229"/>
      <c r="BQ160" s="229"/>
      <c r="BR160" s="229"/>
      <c r="BS160" s="229"/>
      <c r="BT160" s="229"/>
      <c r="BU160" s="229"/>
      <c r="BV160" s="229"/>
      <c r="BW160" s="229"/>
      <c r="BX160" s="229"/>
    </row>
    <row r="161" spans="3:76" hidden="1" outlineLevel="1">
      <c r="C161" s="323" t="s">
        <v>276</v>
      </c>
      <c r="D161" s="324">
        <f>-SUM(M156:BB156)</f>
        <v>0</v>
      </c>
      <c r="E161" s="229"/>
      <c r="F161" s="229"/>
      <c r="G161" s="229"/>
      <c r="H161" s="229"/>
      <c r="I161" s="229"/>
      <c r="J161" s="229"/>
      <c r="K161" s="229"/>
      <c r="L161" s="229"/>
      <c r="M161" s="229"/>
      <c r="N161" s="229"/>
      <c r="O161" s="229"/>
      <c r="P161" s="229"/>
      <c r="Q161" s="229"/>
      <c r="R161" s="229"/>
      <c r="S161" s="229"/>
      <c r="T161" s="229"/>
      <c r="U161" s="229"/>
      <c r="V161" s="229"/>
      <c r="W161" s="229"/>
      <c r="X161" s="229"/>
      <c r="Y161" s="229"/>
      <c r="Z161" s="229"/>
      <c r="AA161" s="229"/>
      <c r="AB161" s="229"/>
      <c r="AC161" s="229"/>
      <c r="AD161" s="229"/>
      <c r="AE161" s="229"/>
      <c r="AF161" s="229"/>
      <c r="AG161" s="229"/>
      <c r="AH161" s="229"/>
      <c r="AI161" s="229"/>
      <c r="AJ161" s="229"/>
      <c r="AK161" s="229"/>
      <c r="AL161" s="229"/>
      <c r="AM161" s="229"/>
      <c r="AN161" s="229"/>
      <c r="AO161" s="229"/>
      <c r="AP161" s="229"/>
      <c r="AQ161" s="229"/>
      <c r="AR161" s="229"/>
      <c r="AS161" s="229"/>
      <c r="AT161" s="229"/>
      <c r="AU161" s="229"/>
      <c r="AV161" s="229"/>
      <c r="AW161" s="229"/>
      <c r="AX161" s="229"/>
      <c r="AY161" s="229"/>
      <c r="AZ161" s="229"/>
      <c r="BA161" s="229"/>
      <c r="BB161" s="229"/>
      <c r="BC161" s="229"/>
      <c r="BD161" s="229"/>
      <c r="BE161" s="229"/>
      <c r="BF161" s="229"/>
      <c r="BG161" s="229"/>
      <c r="BH161" s="229"/>
      <c r="BI161" s="229"/>
      <c r="BJ161" s="229"/>
      <c r="BK161" s="229"/>
      <c r="BL161" s="229"/>
      <c r="BM161" s="229"/>
      <c r="BN161" s="229"/>
      <c r="BO161" s="229"/>
      <c r="BP161" s="229"/>
      <c r="BQ161" s="229"/>
      <c r="BR161" s="229"/>
      <c r="BS161" s="229"/>
      <c r="BT161" s="229"/>
      <c r="BU161" s="229"/>
      <c r="BV161" s="229"/>
      <c r="BW161" s="229"/>
      <c r="BX161" s="229"/>
    </row>
    <row r="162" spans="3:76" hidden="1" outlineLevel="1">
      <c r="C162" s="311" t="s">
        <v>270</v>
      </c>
      <c r="D162" s="325">
        <f>D161+D160</f>
        <v>0</v>
      </c>
      <c r="E162" s="229"/>
      <c r="F162" s="229"/>
      <c r="G162" s="229"/>
      <c r="H162" s="229"/>
      <c r="I162" s="229"/>
      <c r="J162" s="229"/>
      <c r="K162" s="229"/>
      <c r="L162" s="229"/>
      <c r="M162" s="229"/>
      <c r="N162" s="229"/>
      <c r="O162" s="229"/>
      <c r="P162" s="229"/>
      <c r="Q162" s="229"/>
      <c r="R162" s="229"/>
      <c r="S162" s="229"/>
      <c r="T162" s="229"/>
      <c r="U162" s="229"/>
      <c r="V162" s="229"/>
      <c r="W162" s="229"/>
      <c r="X162" s="229"/>
      <c r="Y162" s="229"/>
      <c r="Z162" s="229"/>
      <c r="AA162" s="229"/>
      <c r="AB162" s="229"/>
      <c r="AC162" s="229"/>
      <c r="AD162" s="229"/>
      <c r="AE162" s="229"/>
      <c r="AF162" s="229"/>
      <c r="AG162" s="229"/>
      <c r="AH162" s="229"/>
      <c r="AI162" s="229"/>
      <c r="AJ162" s="229"/>
      <c r="AK162" s="229"/>
      <c r="AL162" s="229"/>
      <c r="AM162" s="229"/>
      <c r="AN162" s="229"/>
      <c r="AO162" s="229"/>
      <c r="AP162" s="229"/>
      <c r="AQ162" s="229"/>
      <c r="AR162" s="229"/>
      <c r="AS162" s="229"/>
      <c r="AT162" s="229"/>
      <c r="AU162" s="229"/>
      <c r="AV162" s="229"/>
      <c r="AW162" s="229"/>
      <c r="AX162" s="229"/>
      <c r="AY162" s="229"/>
      <c r="AZ162" s="229"/>
      <c r="BA162" s="229"/>
      <c r="BB162" s="229"/>
      <c r="BC162" s="229"/>
      <c r="BD162" s="229"/>
      <c r="BE162" s="229"/>
      <c r="BF162" s="229"/>
      <c r="BG162" s="229"/>
      <c r="BH162" s="229"/>
      <c r="BI162" s="229"/>
      <c r="BJ162" s="229"/>
      <c r="BK162" s="229"/>
      <c r="BL162" s="229"/>
      <c r="BM162" s="229"/>
      <c r="BN162" s="229"/>
      <c r="BO162" s="229"/>
      <c r="BP162" s="229"/>
      <c r="BQ162" s="229"/>
      <c r="BR162" s="229"/>
      <c r="BS162" s="229"/>
      <c r="BT162" s="229"/>
      <c r="BU162" s="229"/>
      <c r="BV162" s="229"/>
      <c r="BW162" s="229"/>
      <c r="BX162" s="229"/>
    </row>
    <row r="163" spans="3:76" hidden="1" outlineLevel="1">
      <c r="C163" s="311" t="s">
        <v>271</v>
      </c>
      <c r="D163" s="325">
        <f>BX154+BX155</f>
        <v>0</v>
      </c>
      <c r="E163" s="229"/>
      <c r="F163" s="229"/>
      <c r="G163" s="229"/>
      <c r="H163" s="229"/>
      <c r="I163" s="229"/>
      <c r="J163" s="229"/>
      <c r="K163" s="229"/>
      <c r="L163" s="229"/>
      <c r="M163" s="229"/>
      <c r="N163" s="229"/>
      <c r="O163" s="229"/>
      <c r="P163" s="229"/>
      <c r="Q163" s="229"/>
      <c r="R163" s="229"/>
      <c r="S163" s="229"/>
      <c r="T163" s="229"/>
      <c r="U163" s="229"/>
      <c r="V163" s="229"/>
      <c r="W163" s="229"/>
      <c r="X163" s="229"/>
      <c r="Y163" s="229"/>
      <c r="Z163" s="229"/>
      <c r="AA163" s="229"/>
      <c r="AB163" s="229"/>
      <c r="AC163" s="229"/>
      <c r="AD163" s="229"/>
      <c r="AE163" s="229"/>
      <c r="AF163" s="229"/>
      <c r="AG163" s="229"/>
      <c r="AH163" s="229"/>
      <c r="AI163" s="229"/>
      <c r="AJ163" s="229"/>
      <c r="AK163" s="229"/>
      <c r="AL163" s="229"/>
      <c r="AM163" s="229"/>
      <c r="AN163" s="229"/>
      <c r="AO163" s="229"/>
      <c r="AP163" s="229"/>
      <c r="AQ163" s="229"/>
      <c r="AR163" s="229"/>
      <c r="AS163" s="229"/>
      <c r="AT163" s="229"/>
      <c r="AU163" s="229"/>
      <c r="AV163" s="229"/>
      <c r="AW163" s="229"/>
      <c r="AX163" s="229"/>
      <c r="AY163" s="229"/>
      <c r="AZ163" s="229"/>
      <c r="BA163" s="229"/>
      <c r="BB163" s="229"/>
      <c r="BC163" s="229"/>
      <c r="BD163" s="229"/>
      <c r="BE163" s="229"/>
      <c r="BF163" s="229"/>
      <c r="BG163" s="229"/>
      <c r="BH163" s="229"/>
      <c r="BI163" s="229"/>
      <c r="BJ163" s="229"/>
      <c r="BK163" s="229"/>
      <c r="BL163" s="229"/>
      <c r="BM163" s="229"/>
      <c r="BN163" s="229"/>
      <c r="BO163" s="229"/>
      <c r="BP163" s="229"/>
      <c r="BQ163" s="229"/>
      <c r="BR163" s="229"/>
      <c r="BS163" s="229"/>
      <c r="BT163" s="229"/>
      <c r="BU163" s="229"/>
      <c r="BV163" s="229"/>
      <c r="BW163" s="229"/>
      <c r="BX163" s="229"/>
    </row>
    <row r="164" spans="3:76" hidden="1" outlineLevel="1">
      <c r="C164" s="311" t="s">
        <v>272</v>
      </c>
      <c r="D164" s="322" t="e">
        <f>(D163-D161)/D162</f>
        <v>#DIV/0!</v>
      </c>
      <c r="E164" s="229"/>
      <c r="F164" s="229"/>
      <c r="G164" s="229"/>
      <c r="H164" s="229"/>
      <c r="I164" s="229"/>
      <c r="J164" s="229"/>
      <c r="K164" s="229"/>
      <c r="L164" s="229"/>
      <c r="M164" s="229"/>
      <c r="N164" s="229"/>
      <c r="O164" s="229"/>
      <c r="P164" s="229"/>
      <c r="Q164" s="229"/>
      <c r="R164" s="229"/>
      <c r="S164" s="229"/>
      <c r="T164" s="229"/>
      <c r="U164" s="229"/>
      <c r="V164" s="229"/>
      <c r="W164" s="229"/>
      <c r="X164" s="229"/>
      <c r="Y164" s="229"/>
      <c r="Z164" s="229"/>
      <c r="AA164" s="229"/>
      <c r="AB164" s="229"/>
      <c r="AC164" s="229"/>
      <c r="AD164" s="229"/>
      <c r="AE164" s="229"/>
      <c r="AF164" s="229"/>
      <c r="AG164" s="229"/>
      <c r="AH164" s="229"/>
      <c r="AI164" s="229"/>
      <c r="AJ164" s="229"/>
      <c r="AK164" s="229"/>
      <c r="AL164" s="229"/>
      <c r="AM164" s="229"/>
      <c r="AN164" s="229"/>
      <c r="AO164" s="229"/>
      <c r="AP164" s="229"/>
      <c r="AQ164" s="229"/>
      <c r="AR164" s="229"/>
      <c r="AS164" s="229"/>
      <c r="AT164" s="229"/>
      <c r="AU164" s="229"/>
      <c r="AV164" s="229"/>
      <c r="AW164" s="229"/>
      <c r="AX164" s="229"/>
      <c r="AY164" s="229"/>
      <c r="AZ164" s="229"/>
      <c r="BA164" s="229"/>
      <c r="BB164" s="229"/>
      <c r="BC164" s="229"/>
      <c r="BD164" s="229"/>
      <c r="BE164" s="229"/>
      <c r="BF164" s="229"/>
      <c r="BG164" s="229"/>
      <c r="BH164" s="229"/>
      <c r="BI164" s="229"/>
      <c r="BJ164" s="229"/>
      <c r="BK164" s="229"/>
      <c r="BL164" s="229"/>
      <c r="BM164" s="229"/>
      <c r="BN164" s="229"/>
      <c r="BO164" s="229"/>
      <c r="BP164" s="229"/>
      <c r="BQ164" s="229"/>
      <c r="BR164" s="229"/>
      <c r="BS164" s="229"/>
      <c r="BT164" s="229"/>
      <c r="BU164" s="229"/>
      <c r="BV164" s="229"/>
      <c r="BW164" s="229"/>
      <c r="BX164" s="229"/>
    </row>
  </sheetData>
  <mergeCells count="34">
    <mergeCell ref="B18:B80"/>
    <mergeCell ref="B81:C81"/>
    <mergeCell ref="B2:C4"/>
    <mergeCell ref="B5:B8"/>
    <mergeCell ref="B9:B11"/>
    <mergeCell ref="B12:B16"/>
    <mergeCell ref="B17:C17"/>
    <mergeCell ref="B82:C82"/>
    <mergeCell ref="B83:C83"/>
    <mergeCell ref="B84:C84"/>
    <mergeCell ref="D90:E90"/>
    <mergeCell ref="D93:BW93"/>
    <mergeCell ref="BY73:BZ73"/>
    <mergeCell ref="BZ74:BZ80"/>
    <mergeCell ref="BY81:BZ81"/>
    <mergeCell ref="BY82:BZ82"/>
    <mergeCell ref="BY83:BZ83"/>
    <mergeCell ref="BM2:BX2"/>
    <mergeCell ref="BY2:BZ4"/>
    <mergeCell ref="BZ12:BZ16"/>
    <mergeCell ref="BZ18:BZ72"/>
    <mergeCell ref="CE18:CE72"/>
    <mergeCell ref="BZ5:BZ8"/>
    <mergeCell ref="CE5:CE8"/>
    <mergeCell ref="BZ9:BZ11"/>
    <mergeCell ref="CE9:CE11"/>
    <mergeCell ref="CE12:CE16"/>
    <mergeCell ref="BY17:BZ17"/>
    <mergeCell ref="CD17:CE17"/>
    <mergeCell ref="E2:P2"/>
    <mergeCell ref="Q2:AB2"/>
    <mergeCell ref="AC2:AN2"/>
    <mergeCell ref="AO2:AZ2"/>
    <mergeCell ref="BA2:BL2"/>
  </mergeCells>
  <conditionalFormatting sqref="E18:BX18 E24:BX24 E27:BX27 E35:BX35 E38:BX38 E48:BX48 E54:BX54 E62:BX62 E70:BX70 E73:BX73">
    <cfRule type="cellIs" dxfId="7" priority="1" operator="equal">
      <formula>0</formula>
    </cfRule>
  </conditionalFormatting>
  <conditionalFormatting sqref="F98:BS101 E99 BT99:BX99 E101 BT101:BX101 E113 F113:BX116 E115 E135 M135:BX135 F135:L138 E137 M137:BX137 E154:BX154">
    <cfRule type="cellIs" dxfId="6" priority="2" operator="equal">
      <formula>0</formula>
    </cfRule>
  </conditionalFormatting>
  <dataValidations count="1">
    <dataValidation type="list" allowBlank="1" showErrorMessage="1" sqref="CD4" xr:uid="{00000000-0002-0000-0B00-000000000000}">
      <formula1>$D$3:$BX$3</formula1>
    </dataValidation>
  </dataValidations>
  <pageMargins left="0" right="0" top="0" bottom="0" header="0" footer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F9"/>
  <sheetViews>
    <sheetView workbookViewId="0"/>
  </sheetViews>
  <sheetFormatPr defaultColWidth="12.625" defaultRowHeight="15" customHeight="1"/>
  <sheetData>
    <row r="1" spans="1:6" ht="15" customHeight="1">
      <c r="A1" s="207" t="s">
        <v>288</v>
      </c>
    </row>
    <row r="5" spans="1:6" ht="15" customHeight="1">
      <c r="F5" s="351">
        <v>45536</v>
      </c>
    </row>
    <row r="6" spans="1:6" ht="15" customHeight="1">
      <c r="F6" s="351">
        <v>46234</v>
      </c>
    </row>
    <row r="7" spans="1:6" ht="15" customHeight="1">
      <c r="A7" s="207" t="s">
        <v>289</v>
      </c>
    </row>
    <row r="9" spans="1:6" ht="15" customHeight="1">
      <c r="E9" s="328">
        <f>-'Cash-flow BASE'!N85</f>
        <v>5227309.54</v>
      </c>
    </row>
  </sheetData>
  <pageMargins left="0" right="0" top="0" bottom="0" header="0" footer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K992"/>
  <sheetViews>
    <sheetView workbookViewId="0"/>
  </sheetViews>
  <sheetFormatPr defaultColWidth="12.625" defaultRowHeight="15" customHeight="1"/>
  <cols>
    <col min="2" max="2" width="37.125" customWidth="1"/>
    <col min="4" max="4" width="10" customWidth="1"/>
  </cols>
  <sheetData>
    <row r="1" spans="1:11" ht="15" customHeight="1">
      <c r="A1" s="207" t="str">
        <f ca="1">IFERROR(__xludf.UNSUPPORTED(IMPORTRANGE([1]HMG!$A:$Z)),"Etapy")</f>
        <v>Etapy</v>
      </c>
      <c r="B1" s="207" t="str">
        <f ca="1">IFERROR(__xludf.UNSUPPORTED("""COMPUTED_VALUE"""),"Úkol")</f>
        <v>Úkol</v>
      </c>
      <c r="C1" s="207" t="str">
        <f ca="1">IFERROR(__xludf.UNSUPPORTED("""COMPUTED_VALUE"""),"Začátek")</f>
        <v>Začátek</v>
      </c>
      <c r="D1" s="207" t="str">
        <f ca="1">IFERROR(__xludf.UNSUPPORTED("""COMPUTED_VALUE"""),"Konec")</f>
        <v>Konec</v>
      </c>
      <c r="E1" s="207" t="str">
        <f ca="1">IFERROR(__xludf.UNSUPPORTED("""COMPUTED_VALUE"""),"Očekavány výsledek")</f>
        <v>Očekavány výsledek</v>
      </c>
      <c r="F1" s="207" t="str">
        <f ca="1">IFERROR(__xludf.UNSUPPORTED("""COMPUTED_VALUE"""),"Výsledek")</f>
        <v>Výsledek</v>
      </c>
      <c r="G1" s="207" t="str">
        <f ca="1">IFERROR(__xludf.UNSUPPORTED("""COMPUTED_VALUE"""),"Komentář")</f>
        <v>Komentář</v>
      </c>
      <c r="H1" s="207" t="str">
        <f ca="1">IFERROR(__xludf.UNSUPPORTED("""COMPUTED_VALUE"""),"Aktuální stav")</f>
        <v>Aktuální stav</v>
      </c>
      <c r="I1" s="207" t="str">
        <f ca="1">IFERROR(__xludf.UNSUPPORTED("""COMPUTED_VALUE"""),"Odkaz")</f>
        <v>Odkaz</v>
      </c>
      <c r="J1" s="207" t="str">
        <f ca="1">IFERROR(__xludf.UNSUPPORTED("""COMPUTED_VALUE"""),"Odpovědná osoba")</f>
        <v>Odpovědná osoba</v>
      </c>
      <c r="K1" s="207" t="str">
        <f ca="1">IFERROR(__xludf.UNSUPPORTED("""COMPUTED_VALUE"""),"Podpůrné zdroje")</f>
        <v>Podpůrné zdroje</v>
      </c>
    </row>
    <row r="2" spans="1:11" ht="15" customHeight="1">
      <c r="A2" s="207" t="str">
        <f ca="1">IFERROR(__xludf.UNSUPPORTED("""COMPUTED_VALUE"""),"Projektování")</f>
        <v>Projektování</v>
      </c>
      <c r="B2" s="207" t="str">
        <f ca="1">IFERROR(__xludf.UNSUPPORTED("""COMPUTED_VALUE"""),"Mesto podalo navrh na zmenu UP")</f>
        <v>Mesto podalo navrh na zmenu UP</v>
      </c>
      <c r="C2" s="351">
        <f ca="1">IFERROR(__xludf.UNSUPPORTED("""COMPUTED_VALUE"""),45425)</f>
        <v>45425</v>
      </c>
      <c r="D2" s="352">
        <f ca="1">IFERROR(__xludf.UNSUPPORTED("""COMPUTED_VALUE"""),45609)</f>
        <v>45609</v>
      </c>
      <c r="E2" s="207" t="str">
        <f ca="1">IFERROR(__xludf.UNSUPPORTED("""COMPUTED_VALUE"""),"Podany navrh na zmenu UP")</f>
        <v>Podany navrh na zmenu UP</v>
      </c>
      <c r="F2" s="207" t="b">
        <f ca="1">IFERROR(__xludf.UNSUPPORTED("""COMPUTED_VALUE"""),TRUE)</f>
        <v>1</v>
      </c>
      <c r="G2" s="207"/>
      <c r="H2" s="207"/>
      <c r="I2" s="207"/>
      <c r="J2" s="207" t="str">
        <f ca="1">IFERROR(__xludf.UNSUPPORTED("""COMPUTED_VALUE"""),"muinov@lekvi.cz")</f>
        <v>muinov@lekvi.cz</v>
      </c>
      <c r="K2" s="207"/>
    </row>
    <row r="3" spans="1:11" ht="15" customHeight="1">
      <c r="A3" s="207" t="str">
        <f ca="1">IFERROR(__xludf.UNSUPPORTED("""COMPUTED_VALUE"""),"Akvizice")</f>
        <v>Akvizice</v>
      </c>
      <c r="B3" s="207" t="str">
        <f ca="1">IFERROR(__xludf.UNSUPPORTED("""COMPUTED_VALUE"""),"Slozeni zálohy Leška Group")</f>
        <v>Slozeni zálohy Leška Group</v>
      </c>
      <c r="C3" s="351">
        <f ca="1">IFERROR(__xludf.UNSUPPORTED("""COMPUTED_VALUE"""),45436)</f>
        <v>45436</v>
      </c>
      <c r="D3" s="351">
        <f ca="1">IFERROR(__xludf.UNSUPPORTED("""COMPUTED_VALUE"""),45488)</f>
        <v>45488</v>
      </c>
      <c r="E3" s="207" t="str">
        <f ca="1">IFERROR(__xludf.UNSUPPORTED("""COMPUTED_VALUE"""),"Zaplacena zaloha")</f>
        <v>Zaplacena zaloha</v>
      </c>
      <c r="F3" s="207" t="b">
        <f ca="1">IFERROR(__xludf.UNSUPPORTED("""COMPUTED_VALUE"""),TRUE)</f>
        <v>1</v>
      </c>
      <c r="G3" s="207"/>
      <c r="H3" s="207"/>
      <c r="I3" s="207"/>
      <c r="J3" s="207" t="str">
        <f ca="1">IFERROR(__xludf.UNSUPPORTED("""COMPUTED_VALUE"""),"muinov@lekvi.cz")</f>
        <v>muinov@lekvi.cz</v>
      </c>
      <c r="K3" s="207"/>
    </row>
    <row r="4" spans="1:11" ht="15" customHeight="1">
      <c r="A4" s="207" t="str">
        <f ca="1">IFERROR(__xludf.UNSUPPORTED("""COMPUTED_VALUE"""),"Akvizice")</f>
        <v>Akvizice</v>
      </c>
      <c r="B4" s="207" t="str">
        <f ca="1">IFERROR(__xludf.UNSUPPORTED("""COMPUTED_VALUE"""),"Podpis SOSBK Leška Group")</f>
        <v>Podpis SOSBK Leška Group</v>
      </c>
      <c r="C4" s="351">
        <f ca="1">IFERROR(__xludf.UNSUPPORTED("""COMPUTED_VALUE"""),45436)</f>
        <v>45436</v>
      </c>
      <c r="D4" s="351">
        <f ca="1">IFERROR(__xludf.UNSUPPORTED("""COMPUTED_VALUE"""),45436)</f>
        <v>45436</v>
      </c>
      <c r="E4" s="207" t="str">
        <f ca="1">IFERROR(__xludf.UNSUPPORTED("""COMPUTED_VALUE"""),"Podpis")</f>
        <v>Podpis</v>
      </c>
      <c r="F4" s="207" t="b">
        <f ca="1">IFERROR(__xludf.UNSUPPORTED("""COMPUTED_VALUE"""),TRUE)</f>
        <v>1</v>
      </c>
      <c r="G4" s="207"/>
      <c r="H4" s="207"/>
      <c r="I4" s="207"/>
      <c r="J4" s="207" t="str">
        <f ca="1">IFERROR(__xludf.UNSUPPORTED("""COMPUTED_VALUE"""),"muinov@lekvi.cz")</f>
        <v>muinov@lekvi.cz</v>
      </c>
      <c r="K4" s="207"/>
    </row>
    <row r="5" spans="1:11" ht="15" customHeight="1">
      <c r="A5" s="207" t="str">
        <f ca="1">IFERROR(__xludf.UNSUPPORTED("""COMPUTED_VALUE"""),"Akvizice")</f>
        <v>Akvizice</v>
      </c>
      <c r="B5" s="207" t="str">
        <f ca="1">IFERROR(__xludf.UNSUPPORTED("""COMPUTED_VALUE"""),"Zaplaceni zálohy dle SOSBK")</f>
        <v>Zaplaceni zálohy dle SOSBK</v>
      </c>
      <c r="C5" s="351">
        <f ca="1">IFERROR(__xludf.UNSUPPORTED("""COMPUTED_VALUE"""),45425)</f>
        <v>45425</v>
      </c>
      <c r="D5" s="351">
        <f ca="1">IFERROR(__xludf.UNSUPPORTED("""COMPUTED_VALUE"""),45515)</f>
        <v>45515</v>
      </c>
      <c r="E5" s="207" t="str">
        <f ca="1">IFERROR(__xludf.UNSUPPORTED("""COMPUTED_VALUE"""),"Zaplacena zaloha")</f>
        <v>Zaplacena zaloha</v>
      </c>
      <c r="F5" s="207" t="b">
        <f ca="1">IFERROR(__xludf.UNSUPPORTED("""COMPUTED_VALUE"""),TRUE)</f>
        <v>1</v>
      </c>
      <c r="G5" s="207"/>
      <c r="H5" s="207"/>
      <c r="I5" s="207"/>
      <c r="J5" s="207" t="str">
        <f ca="1">IFERROR(__xludf.UNSUPPORTED("""COMPUTED_VALUE"""),"slastuchin@lekvi.cz")</f>
        <v>slastuchin@lekvi.cz</v>
      </c>
      <c r="K5" s="207"/>
    </row>
    <row r="6" spans="1:11" ht="15" customHeight="1">
      <c r="A6" s="207" t="str">
        <f ca="1">IFERROR(__xludf.UNSUPPORTED("""COMPUTED_VALUE"""),"Akvizice")</f>
        <v>Akvizice</v>
      </c>
      <c r="B6" s="207" t="str">
        <f ca="1">IFERROR(__xludf.UNSUPPORTED("""COMPUTED_VALUE"""),"Podpis SOSBK město")</f>
        <v>Podpis SOSBK město</v>
      </c>
      <c r="C6" s="351">
        <f ca="1">IFERROR(__xludf.UNSUPPORTED("""COMPUTED_VALUE"""),45425)</f>
        <v>45425</v>
      </c>
      <c r="D6" s="351">
        <f ca="1">IFERROR(__xludf.UNSUPPORTED("""COMPUTED_VALUE"""),45425)</f>
        <v>45425</v>
      </c>
      <c r="E6" s="207" t="str">
        <f ca="1">IFERROR(__xludf.UNSUPPORTED("""COMPUTED_VALUE"""),"Podpis")</f>
        <v>Podpis</v>
      </c>
      <c r="F6" s="207" t="b">
        <f ca="1">IFERROR(__xludf.UNSUPPORTED("""COMPUTED_VALUE"""),TRUE)</f>
        <v>1</v>
      </c>
      <c r="G6" s="207"/>
      <c r="H6" s="207"/>
      <c r="I6" s="207"/>
      <c r="J6" s="207" t="str">
        <f ca="1">IFERROR(__xludf.UNSUPPORTED("""COMPUTED_VALUE"""),"muinov@lekvi.cz")</f>
        <v>muinov@lekvi.cz</v>
      </c>
      <c r="K6" s="207"/>
    </row>
    <row r="7" spans="1:11" ht="15" customHeight="1">
      <c r="A7" s="207" t="str">
        <f ca="1">IFERROR(__xludf.UNSUPPORTED("""COMPUTED_VALUE"""),"Akvizice")</f>
        <v>Akvizice</v>
      </c>
      <c r="B7" s="207" t="str">
        <f ca="1">IFERROR(__xludf.UNSUPPORTED("""COMPUTED_VALUE"""),"Zajisteni souhlasu s rozdelenim casti bydleni")</f>
        <v>Zajisteni souhlasu s rozdelenim casti bydleni</v>
      </c>
      <c r="C7" s="351">
        <f ca="1">IFERROR(__xludf.UNSUPPORTED("""COMPUTED_VALUE"""),45425)</f>
        <v>45425</v>
      </c>
      <c r="D7" s="351">
        <f ca="1">IFERROR(__xludf.UNSUPPORTED("""COMPUTED_VALUE"""),45609)</f>
        <v>45609</v>
      </c>
      <c r="E7" s="207"/>
      <c r="F7" s="207" t="b">
        <f ca="1">IFERROR(__xludf.UNSUPPORTED("""COMPUTED_VALUE"""),FALSE)</f>
        <v>0</v>
      </c>
      <c r="G7" s="207"/>
      <c r="H7" s="207"/>
      <c r="I7" s="207"/>
      <c r="J7" s="207" t="str">
        <f ca="1">IFERROR(__xludf.UNSUPPORTED("""COMPUTED_VALUE"""),"muinov@lekvi.cz")</f>
        <v>muinov@lekvi.cz</v>
      </c>
      <c r="K7" s="207"/>
    </row>
    <row r="8" spans="1:11" ht="15" customHeight="1">
      <c r="A8" s="207" t="str">
        <f ca="1">IFERROR(__xludf.UNSUPPORTED("""COMPUTED_VALUE"""),"Přípravná fáze výstavby")</f>
        <v>Přípravná fáze výstavby</v>
      </c>
      <c r="B8" s="207" t="str">
        <f ca="1">IFERROR(__xludf.UNSUPPORTED("""COMPUTED_VALUE"""),"Objednani technickych podminek na site - DD")</f>
        <v>Objednani technickych podminek na site - DD</v>
      </c>
      <c r="C8" s="351">
        <f ca="1">IFERROR(__xludf.UNSUPPORTED("""COMPUTED_VALUE"""),45539)</f>
        <v>45539</v>
      </c>
      <c r="D8" s="351">
        <f ca="1">IFERROR(__xludf.UNSUPPORTED("""COMPUTED_VALUE"""),45546)</f>
        <v>45546</v>
      </c>
      <c r="E8" s="207" t="str">
        <f ca="1">IFERROR(__xludf.UNSUPPORTED("""COMPUTED_VALUE"""),"objednani")</f>
        <v>objednani</v>
      </c>
      <c r="F8" s="207" t="b">
        <f ca="1">IFERROR(__xludf.UNSUPPORTED("""COMPUTED_VALUE"""),TRUE)</f>
        <v>1</v>
      </c>
      <c r="G8" s="207"/>
      <c r="H8" s="207"/>
      <c r="I8" s="207"/>
      <c r="J8" s="207" t="str">
        <f ca="1">IFERROR(__xludf.UNSUPPORTED("""COMPUTED_VALUE"""),"nikolaiuk@lekvidevelopment.cz")</f>
        <v>nikolaiuk@lekvidevelopment.cz</v>
      </c>
      <c r="K8" s="207" t="str">
        <f ca="1">IFERROR(__xludf.UNSUPPORTED("""COMPUTED_VALUE"""),"moravec@lekvi.cz")</f>
        <v>moravec@lekvi.cz</v>
      </c>
    </row>
    <row r="9" spans="1:11" ht="15" customHeight="1">
      <c r="A9" s="207" t="str">
        <f ca="1">IFERROR(__xludf.UNSUPPORTED("""COMPUTED_VALUE"""),"Přípravná fáze výstavby")</f>
        <v>Přípravná fáze výstavby</v>
      </c>
      <c r="B9" s="207" t="str">
        <f ca="1">IFERROR(__xludf.UNSUPPORTED("""COMPUTED_VALUE"""),"Objednani geo zatěží")</f>
        <v>Objednani geo zatěží</v>
      </c>
      <c r="C9" s="351">
        <f ca="1">IFERROR(__xludf.UNSUPPORTED("""COMPUTED_VALUE"""),45539)</f>
        <v>45539</v>
      </c>
      <c r="D9" s="351">
        <f ca="1">IFERROR(__xludf.UNSUPPORTED("""COMPUTED_VALUE"""),45546)</f>
        <v>45546</v>
      </c>
      <c r="E9" s="207"/>
      <c r="F9" s="207" t="b">
        <f ca="1">IFERROR(__xludf.UNSUPPORTED("""COMPUTED_VALUE"""),TRUE)</f>
        <v>1</v>
      </c>
      <c r="G9" s="207"/>
      <c r="H9" s="207"/>
      <c r="I9" s="207"/>
      <c r="J9" s="207" t="str">
        <f ca="1">IFERROR(__xludf.UNSUPPORTED("""COMPUTED_VALUE"""),"nikolaiuk@lekvidevelopment.cz")</f>
        <v>nikolaiuk@lekvidevelopment.cz</v>
      </c>
      <c r="K9" s="207" t="str">
        <f ca="1">IFERROR(__xludf.UNSUPPORTED("""COMPUTED_VALUE"""),"moravec@lekvi.cz")</f>
        <v>moravec@lekvi.cz</v>
      </c>
    </row>
    <row r="10" spans="1:11" ht="15" customHeight="1">
      <c r="A10" s="207" t="str">
        <f ca="1">IFERROR(__xludf.UNSUPPORTED("""COMPUTED_VALUE"""),"Přípravná fáze výstavby")</f>
        <v>Přípravná fáze výstavby</v>
      </c>
      <c r="B10" s="207" t="str">
        <f ca="1">IFERROR(__xludf.UNSUPPORTED("""COMPUTED_VALUE"""),"Vysledky DD pozemku")</f>
        <v>Vysledky DD pozemku</v>
      </c>
      <c r="C10" s="351">
        <f ca="1">IFERROR(__xludf.UNSUPPORTED("""COMPUTED_VALUE"""),45604)</f>
        <v>45604</v>
      </c>
      <c r="D10" s="351">
        <f ca="1">IFERROR(__xludf.UNSUPPORTED("""COMPUTED_VALUE"""),45611)</f>
        <v>45611</v>
      </c>
      <c r="E10" s="207" t="str">
        <f ca="1">IFERROR(__xludf.UNSUPPORTED("""COMPUTED_VALUE"""),"Cena vystavby")</f>
        <v>Cena vystavby</v>
      </c>
      <c r="F10" s="207" t="b">
        <f ca="1">IFERROR(__xludf.UNSUPPORTED("""COMPUTED_VALUE"""),TRUE)</f>
        <v>1</v>
      </c>
      <c r="G10" s="207"/>
      <c r="H10" s="207"/>
      <c r="I10" s="207"/>
      <c r="J10" s="207" t="str">
        <f ca="1">IFERROR(__xludf.UNSUPPORTED("""COMPUTED_VALUE"""),"moravec@lekvi.cz")</f>
        <v>moravec@lekvi.cz</v>
      </c>
      <c r="K10" s="207"/>
    </row>
    <row r="11" spans="1:11" ht="15" customHeight="1">
      <c r="A11" s="207" t="str">
        <f ca="1">IFERROR(__xludf.UNSUPPORTED("""COMPUTED_VALUE"""),"Přípravná fáze výstavby")</f>
        <v>Přípravná fáze výstavby</v>
      </c>
      <c r="B11" s="207" t="str">
        <f ca="1">IFERROR(__xludf.UNSUPPORTED("""COMPUTED_VALUE"""),"Dendrologie nákladova čast - IS vyřešit dřive")</f>
        <v>Dendrologie nákladova čast - IS vyřešit dřive</v>
      </c>
      <c r="C11" s="351">
        <f ca="1">IFERROR(__xludf.UNSUPPORTED("""COMPUTED_VALUE"""),45544)</f>
        <v>45544</v>
      </c>
      <c r="D11" s="351">
        <f ca="1">IFERROR(__xludf.UNSUPPORTED("""COMPUTED_VALUE"""),45565)</f>
        <v>45565</v>
      </c>
      <c r="E11" s="207"/>
      <c r="F11" s="207" t="b">
        <f ca="1">IFERROR(__xludf.UNSUPPORTED("""COMPUTED_VALUE"""),TRUE)</f>
        <v>1</v>
      </c>
      <c r="G11" s="207"/>
      <c r="H11" s="207"/>
      <c r="I11" s="207"/>
      <c r="J11" s="207" t="str">
        <f ca="1">IFERROR(__xludf.UNSUPPORTED("""COMPUTED_VALUE"""),"Andrej Moravec Vladyslav Nikolaiuk")</f>
        <v>Andrej Moravec Vladyslav Nikolaiuk</v>
      </c>
      <c r="K11" s="207"/>
    </row>
    <row r="12" spans="1:11" ht="15" customHeight="1">
      <c r="A12" s="207" t="str">
        <f ca="1">IFERROR(__xludf.UNSUPPORTED("""COMPUTED_VALUE"""),"Projektování")</f>
        <v>Projektování</v>
      </c>
      <c r="B12" s="207" t="str">
        <f ca="1">IFERROR(__xludf.UNSUPPORTED("""COMPUTED_VALUE"""),"Tendr na projektanta ")</f>
        <v xml:space="preserve">Tendr na projektanta </v>
      </c>
      <c r="C12" s="351">
        <f ca="1">IFERROR(__xludf.UNSUPPORTED("""COMPUTED_VALUE"""),45544)</f>
        <v>45544</v>
      </c>
      <c r="D12" s="351">
        <f ca="1">IFERROR(__xludf.UNSUPPORTED("""COMPUTED_VALUE"""),45576)</f>
        <v>45576</v>
      </c>
      <c r="E12" s="207"/>
      <c r="F12" s="207" t="b">
        <f ca="1">IFERROR(__xludf.UNSUPPORTED("""COMPUTED_VALUE"""),FALSE)</f>
        <v>0</v>
      </c>
      <c r="G12" s="207"/>
      <c r="H12" s="207"/>
      <c r="I12" s="207"/>
      <c r="J12" s="207" t="str">
        <f ca="1">IFERROR(__xludf.UNSUPPORTED("""COMPUTED_VALUE"""),"flasark@investservis.eu")</f>
        <v>flasark@investservis.eu</v>
      </c>
      <c r="K12" s="207"/>
    </row>
    <row r="13" spans="1:11" ht="15" customHeight="1">
      <c r="A13" s="207" t="str">
        <f ca="1">IFERROR(__xludf.UNSUPPORTED("""COMPUTED_VALUE"""),"Přípravná fáze výstavby")</f>
        <v>Přípravná fáze výstavby</v>
      </c>
      <c r="B13" s="207" t="str">
        <f ca="1">IFERROR(__xludf.UNSUPPORTED("""COMPUTED_VALUE"""),"Typ budovy a Penny")</f>
        <v>Typ budovy a Penny</v>
      </c>
      <c r="C13" s="351">
        <f ca="1">IFERROR(__xludf.UNSUPPORTED("""COMPUTED_VALUE"""),45539)</f>
        <v>45539</v>
      </c>
      <c r="D13" s="351">
        <f ca="1">IFERROR(__xludf.UNSUPPORTED("""COMPUTED_VALUE"""),45551)</f>
        <v>45551</v>
      </c>
      <c r="E13" s="207" t="str">
        <f ca="1">IFERROR(__xludf.UNSUPPORTED("""COMPUTED_VALUE"""),"Bude Prefa ")</f>
        <v xml:space="preserve">Bude Prefa </v>
      </c>
      <c r="F13" s="207" t="b">
        <f ca="1">IFERROR(__xludf.UNSUPPORTED("""COMPUTED_VALUE"""),TRUE)</f>
        <v>1</v>
      </c>
      <c r="G13" s="207"/>
      <c r="H13" s="207"/>
      <c r="I13" s="207"/>
      <c r="J13" s="207" t="str">
        <f ca="1">IFERROR(__xludf.UNSUPPORTED("""COMPUTED_VALUE"""),"Vilma Taborová")</f>
        <v>Vilma Taborová</v>
      </c>
      <c r="K13" s="207"/>
    </row>
    <row r="14" spans="1:11" ht="15" customHeight="1">
      <c r="A14" s="207" t="str">
        <f ca="1">IFERROR(__xludf.UNSUPPORTED("""COMPUTED_VALUE"""),"Projektování")</f>
        <v>Projektování</v>
      </c>
      <c r="B14" s="207" t="str">
        <f ca="1">IFERROR(__xludf.UNSUPPORTED("""COMPUTED_VALUE"""),"Projekční práce")</f>
        <v>Projekční práce</v>
      </c>
      <c r="C14" s="351">
        <f ca="1">IFERROR(__xludf.UNSUPPORTED("""COMPUTED_VALUE"""),45597)</f>
        <v>45597</v>
      </c>
      <c r="D14" s="351">
        <f ca="1">IFERROR(__xludf.UNSUPPORTED("""COMPUTED_VALUE"""),45717)</f>
        <v>45717</v>
      </c>
      <c r="E14" s="207"/>
      <c r="F14" s="207" t="b">
        <f ca="1">IFERROR(__xludf.UNSUPPORTED("""COMPUTED_VALUE"""),FALSE)</f>
        <v>0</v>
      </c>
      <c r="G14" s="207"/>
      <c r="H14" s="207"/>
      <c r="I14" s="207"/>
      <c r="J14" s="207"/>
      <c r="K14" s="207"/>
    </row>
    <row r="15" spans="1:11" ht="15" customHeight="1">
      <c r="A15" s="207" t="str">
        <f ca="1">IFERROR(__xludf.UNSUPPORTED("""COMPUTED_VALUE"""),"Projektování")</f>
        <v>Projektování</v>
      </c>
      <c r="B15" s="207" t="str">
        <f ca="1">IFERROR(__xludf.UNSUPPORTED("""COMPUTED_VALUE"""),"IGP")</f>
        <v>IGP</v>
      </c>
      <c r="C15" s="351">
        <f ca="1">IFERROR(__xludf.UNSUPPORTED("""COMPUTED_VALUE"""),45597)</f>
        <v>45597</v>
      </c>
      <c r="D15" s="351">
        <f ca="1">IFERROR(__xludf.UNSUPPORTED("""COMPUTED_VALUE"""),45604)</f>
        <v>45604</v>
      </c>
      <c r="E15" s="207"/>
      <c r="F15" s="207" t="b">
        <f ca="1">IFERROR(__xludf.UNSUPPORTED("""COMPUTED_VALUE"""),FALSE)</f>
        <v>0</v>
      </c>
      <c r="G15" s="207"/>
      <c r="H15" s="207"/>
      <c r="I15" s="207"/>
      <c r="J15" s="207" t="str">
        <f ca="1">IFERROR(__xludf.UNSUPPORTED("""COMPUTED_VALUE"""),"Vladyslav Nikolaiuk")</f>
        <v>Vladyslav Nikolaiuk</v>
      </c>
      <c r="K15" s="207"/>
    </row>
    <row r="16" spans="1:11" ht="15" customHeight="1">
      <c r="A16" s="207" t="str">
        <f ca="1">IFERROR(__xludf.UNSUPPORTED("""COMPUTED_VALUE"""),"Nájem")</f>
        <v>Nájem</v>
      </c>
      <c r="B16" s="207" t="str">
        <f ca="1">IFERROR(__xludf.UNSUPPORTED("""COMPUTED_VALUE"""),"Připravy SOSBN ")</f>
        <v xml:space="preserve">Připravy SOSBN </v>
      </c>
      <c r="C16" s="351">
        <f ca="1">IFERROR(__xludf.UNSUPPORTED("""COMPUTED_VALUE"""),45670)</f>
        <v>45670</v>
      </c>
      <c r="D16" s="351">
        <f ca="1">IFERROR(__xludf.UNSUPPORTED("""COMPUTED_VALUE"""),45760)</f>
        <v>45760</v>
      </c>
      <c r="E16" s="207"/>
      <c r="F16" s="207" t="b">
        <f ca="1">IFERROR(__xludf.UNSUPPORTED("""COMPUTED_VALUE"""),FALSE)</f>
        <v>0</v>
      </c>
      <c r="G16" s="207"/>
      <c r="H16" s="207"/>
      <c r="I16" s="207"/>
      <c r="J16" s="207" t="str">
        <f ca="1">IFERROR(__xludf.UNSUPPORTED("""COMPUTED_VALUE"""),"Vilma Taborová")</f>
        <v>Vilma Taborová</v>
      </c>
      <c r="K16" s="207"/>
    </row>
    <row r="17" spans="1:11" ht="15" customHeight="1">
      <c r="A17" s="207" t="str">
        <f ca="1">IFERROR(__xludf.UNSUPPORTED("""COMPUTED_VALUE"""),"Projektování")</f>
        <v>Projektování</v>
      </c>
      <c r="B17" s="207" t="str">
        <f ca="1">IFERROR(__xludf.UNSUPPORTED("""COMPUTED_VALUE"""),"DOSS")</f>
        <v>DOSS</v>
      </c>
      <c r="C17" s="351">
        <f ca="1">IFERROR(__xludf.UNSUPPORTED("""COMPUTED_VALUE"""),45726)</f>
        <v>45726</v>
      </c>
      <c r="D17" s="351">
        <f ca="1">IFERROR(__xludf.UNSUPPORTED("""COMPUTED_VALUE"""),45816)</f>
        <v>45816</v>
      </c>
      <c r="E17" s="207"/>
      <c r="F17" s="207" t="b">
        <f ca="1">IFERROR(__xludf.UNSUPPORTED("""COMPUTED_VALUE"""),FALSE)</f>
        <v>0</v>
      </c>
      <c r="G17" s="207"/>
      <c r="H17" s="207"/>
      <c r="I17" s="207"/>
      <c r="J17" s="207"/>
      <c r="K17" s="207"/>
    </row>
    <row r="18" spans="1:11" ht="15" customHeight="1">
      <c r="A18" s="207" t="str">
        <f ca="1">IFERROR(__xludf.UNSUPPORTED("""COMPUTED_VALUE"""),"Projektování")</f>
        <v>Projektování</v>
      </c>
      <c r="B18" s="207" t="str">
        <f ca="1">IFERROR(__xludf.UNSUPPORTED("""COMPUTED_VALUE"""),"Zahajení řizení pro ziskaní SP")</f>
        <v>Zahajení řizení pro ziskaní SP</v>
      </c>
      <c r="C18" s="351">
        <f ca="1">IFERROR(__xludf.UNSUPPORTED("""COMPUTED_VALUE"""),45824)</f>
        <v>45824</v>
      </c>
      <c r="D18" s="351">
        <f ca="1">IFERROR(__xludf.UNSUPPORTED("""COMPUTED_VALUE"""),45914)</f>
        <v>45914</v>
      </c>
      <c r="E18" s="207"/>
      <c r="F18" s="207" t="b">
        <f ca="1">IFERROR(__xludf.UNSUPPORTED("""COMPUTED_VALUE"""),FALSE)</f>
        <v>0</v>
      </c>
      <c r="G18" s="207"/>
      <c r="H18" s="207"/>
      <c r="I18" s="207"/>
      <c r="J18" s="207"/>
      <c r="K18" s="207"/>
    </row>
    <row r="19" spans="1:11" ht="15" customHeight="1">
      <c r="A19" s="207" t="str">
        <f ca="1">IFERROR(__xludf.UNSUPPORTED("""COMPUTED_VALUE"""),"Projektování")</f>
        <v>Projektování</v>
      </c>
      <c r="B19" s="207" t="str">
        <f ca="1">IFERROR(__xludf.UNSUPPORTED("""COMPUTED_VALUE"""),"VŘ na GD")</f>
        <v>VŘ na GD</v>
      </c>
      <c r="C19" s="351">
        <f ca="1">IFERROR(__xludf.UNSUPPORTED("""COMPUTED_VALUE"""),45824)</f>
        <v>45824</v>
      </c>
      <c r="D19" s="351">
        <f ca="1">IFERROR(__xludf.UNSUPPORTED("""COMPUTED_VALUE"""),45914)</f>
        <v>45914</v>
      </c>
      <c r="E19" s="207"/>
      <c r="F19" s="207" t="b">
        <f ca="1">IFERROR(__xludf.UNSUPPORTED("""COMPUTED_VALUE"""),FALSE)</f>
        <v>0</v>
      </c>
      <c r="G19" s="207"/>
      <c r="H19" s="207"/>
      <c r="I19" s="207"/>
      <c r="J19" s="207" t="str">
        <f ca="1">IFERROR(__xludf.UNSUPPORTED("""COMPUTED_VALUE"""),"flasark@investservis.eu")</f>
        <v>flasark@investservis.eu</v>
      </c>
      <c r="K19" s="207"/>
    </row>
    <row r="20" spans="1:11" ht="15" customHeight="1">
      <c r="A20" s="207" t="str">
        <f ca="1">IFERROR(__xludf.UNSUPPORTED("""COMPUTED_VALUE"""),"Projektování")</f>
        <v>Projektování</v>
      </c>
      <c r="B20" s="207" t="str">
        <f ca="1">IFERROR(__xludf.UNSUPPORTED("""COMPUTED_VALUE"""),"Podepsaní SOD s GD a předání staveníště ")</f>
        <v xml:space="preserve">Podepsaní SOD s GD a předání staveníště </v>
      </c>
      <c r="C20" s="351">
        <f ca="1">IFERROR(__xludf.UNSUPPORTED("""COMPUTED_VALUE"""),45914)</f>
        <v>45914</v>
      </c>
      <c r="D20" s="351">
        <f ca="1">IFERROR(__xludf.UNSUPPORTED("""COMPUTED_VALUE"""),45928)</f>
        <v>45928</v>
      </c>
      <c r="E20" s="207"/>
      <c r="F20" s="207" t="b">
        <f ca="1">IFERROR(__xludf.UNSUPPORTED("""COMPUTED_VALUE"""),FALSE)</f>
        <v>0</v>
      </c>
      <c r="G20" s="207"/>
      <c r="H20" s="207"/>
      <c r="I20" s="207"/>
      <c r="J20" s="207"/>
      <c r="K20" s="207"/>
    </row>
    <row r="21" spans="1:11" ht="15" customHeight="1">
      <c r="A21" s="207"/>
      <c r="B21" s="207" t="str">
        <f ca="1">IFERROR(__xludf.UNSUPPORTED("""COMPUTED_VALUE"""),"Zahajení stavby ")</f>
        <v xml:space="preserve">Zahajení stavby </v>
      </c>
      <c r="C21" s="351">
        <f ca="1">IFERROR(__xludf.UNSUPPORTED("""COMPUTED_VALUE"""),45931)</f>
        <v>45931</v>
      </c>
      <c r="D21" s="351">
        <f ca="1">IFERROR(__xludf.UNSUPPORTED("""COMPUTED_VALUE"""),46171)</f>
        <v>46171</v>
      </c>
      <c r="E21" s="207"/>
      <c r="F21" s="207" t="b">
        <f ca="1">IFERROR(__xludf.UNSUPPORTED("""COMPUTED_VALUE"""),FALSE)</f>
        <v>0</v>
      </c>
      <c r="G21" s="207"/>
      <c r="H21" s="207"/>
      <c r="I21" s="207"/>
      <c r="J21" s="207"/>
      <c r="K21" s="207"/>
    </row>
    <row r="22" spans="1:11" ht="15" customHeight="1">
      <c r="A22" s="207"/>
      <c r="B22" s="207" t="str">
        <f ca="1">IFERROR(__xludf.UNSUPPORTED("""COMPUTED_VALUE"""),"Kolaudace ")</f>
        <v xml:space="preserve">Kolaudace </v>
      </c>
      <c r="C22" s="351">
        <f ca="1">IFERROR(__xludf.UNSUPPORTED("""COMPUTED_VALUE"""),46174)</f>
        <v>46174</v>
      </c>
      <c r="D22" s="351">
        <f ca="1">IFERROR(__xludf.UNSUPPORTED("""COMPUTED_VALUE"""),46219)</f>
        <v>46219</v>
      </c>
      <c r="E22" s="207"/>
      <c r="F22" s="207" t="b">
        <f ca="1">IFERROR(__xludf.UNSUPPORTED("""COMPUTED_VALUE"""),FALSE)</f>
        <v>0</v>
      </c>
      <c r="G22" s="207"/>
      <c r="H22" s="207"/>
      <c r="I22" s="207"/>
      <c r="J22" s="207"/>
      <c r="K22" s="207"/>
    </row>
    <row r="23" spans="1:11" ht="15" customHeight="1">
      <c r="A23" s="207" t="str">
        <f ca="1">IFERROR(__xludf.UNSUPPORTED("""COMPUTED_VALUE"""),"Interní")</f>
        <v>Interní</v>
      </c>
      <c r="B23" s="207"/>
      <c r="C23" s="207"/>
      <c r="D23" s="207"/>
      <c r="E23" s="207"/>
      <c r="F23" s="207" t="b">
        <f ca="1">IFERROR(__xludf.UNSUPPORTED("""COMPUTED_VALUE"""),FALSE)</f>
        <v>0</v>
      </c>
      <c r="G23" s="207"/>
      <c r="H23" s="207"/>
      <c r="I23" s="207"/>
      <c r="J23" s="207"/>
      <c r="K23" s="207"/>
    </row>
    <row r="64" ht="14.1"/>
    <row r="65" ht="14.1"/>
    <row r="66" ht="14.1"/>
    <row r="67" ht="14.1"/>
    <row r="68" ht="14.1"/>
    <row r="69" ht="14.1"/>
    <row r="70" ht="14.1"/>
    <row r="71" ht="14.1"/>
    <row r="72" ht="14.1"/>
    <row r="73" ht="14.1"/>
    <row r="74" ht="14.1"/>
    <row r="75" ht="14.1"/>
    <row r="76" ht="14.1"/>
    <row r="77" ht="14.1"/>
    <row r="78" ht="14.1"/>
    <row r="79" ht="14.1"/>
    <row r="80" ht="14.1"/>
    <row r="81" ht="14.1"/>
    <row r="82" ht="14.1"/>
    <row r="83" ht="14.1"/>
    <row r="84" ht="14.1"/>
    <row r="85" ht="14.1"/>
    <row r="86" ht="14.1"/>
    <row r="87" ht="14.1"/>
    <row r="88" ht="14.1"/>
    <row r="89" ht="14.1"/>
    <row r="90" ht="14.1"/>
    <row r="91" ht="14.1"/>
    <row r="92" ht="14.1"/>
    <row r="93" ht="14.1"/>
    <row r="94" ht="14.1"/>
    <row r="95" ht="14.1"/>
    <row r="96" ht="14.1"/>
    <row r="97" ht="14.1"/>
    <row r="98" ht="14.1"/>
    <row r="99" ht="14.1"/>
    <row r="100" ht="14.1"/>
    <row r="101" ht="14.1"/>
    <row r="102" ht="14.1"/>
    <row r="103" ht="14.1"/>
    <row r="104" ht="14.1"/>
    <row r="105" ht="14.1"/>
    <row r="106" ht="14.1"/>
    <row r="107" ht="14.1"/>
    <row r="108" ht="14.1"/>
    <row r="109" ht="14.1"/>
    <row r="110" ht="14.1"/>
    <row r="111" ht="14.1"/>
    <row r="112" ht="14.1"/>
    <row r="113" ht="14.1"/>
    <row r="114" ht="14.1"/>
    <row r="115" ht="14.1"/>
    <row r="116" ht="14.1"/>
    <row r="117" ht="14.1"/>
    <row r="118" ht="14.1"/>
    <row r="119" ht="14.1"/>
    <row r="120" ht="14.1"/>
    <row r="121" ht="14.1"/>
    <row r="122" ht="14.1"/>
    <row r="123" ht="14.1"/>
    <row r="124" ht="14.1"/>
    <row r="125" ht="14.1"/>
    <row r="126" ht="14.1"/>
    <row r="127" ht="14.1"/>
    <row r="128" ht="14.1"/>
    <row r="129" ht="14.1"/>
    <row r="130" ht="14.1"/>
    <row r="131" ht="14.1"/>
    <row r="132" ht="14.1"/>
    <row r="133" ht="14.1"/>
    <row r="134" ht="14.1"/>
    <row r="135" ht="14.1"/>
    <row r="136" ht="14.1"/>
    <row r="137" ht="14.1"/>
    <row r="138" ht="14.1"/>
    <row r="139" ht="14.1"/>
    <row r="140" ht="14.1"/>
    <row r="141" ht="14.1"/>
    <row r="142" ht="14.1"/>
    <row r="143" ht="14.1"/>
    <row r="144" ht="14.1"/>
    <row r="145" ht="14.1"/>
    <row r="146" ht="14.1"/>
    <row r="147" ht="14.1"/>
    <row r="148" ht="14.1"/>
    <row r="149" ht="14.1"/>
    <row r="150" ht="14.1"/>
    <row r="151" ht="14.1"/>
    <row r="152" ht="14.1"/>
    <row r="153" ht="14.1"/>
    <row r="154" ht="14.1"/>
    <row r="155" ht="14.1"/>
    <row r="156" ht="14.1"/>
    <row r="157" ht="14.1"/>
    <row r="158" ht="14.1"/>
    <row r="159" ht="14.1"/>
    <row r="160" ht="14.1"/>
    <row r="161" ht="14.1"/>
    <row r="162" ht="14.1"/>
    <row r="163" ht="14.1"/>
    <row r="164" ht="14.1"/>
    <row r="165" ht="14.1"/>
    <row r="166" ht="14.1"/>
    <row r="167" ht="14.1"/>
    <row r="168" ht="14.1"/>
    <row r="169" ht="14.1"/>
    <row r="170" ht="14.1"/>
    <row r="171" ht="14.1"/>
    <row r="172" ht="14.1"/>
    <row r="173" ht="14.1"/>
    <row r="174" ht="14.1"/>
    <row r="175" ht="14.1"/>
    <row r="176" ht="14.1"/>
    <row r="177" ht="14.1"/>
    <row r="178" ht="14.1"/>
    <row r="179" ht="14.1"/>
    <row r="180" ht="14.1"/>
    <row r="181" ht="14.1"/>
    <row r="182" ht="14.1"/>
    <row r="183" ht="14.1"/>
    <row r="184" ht="14.1"/>
    <row r="185" ht="14.1"/>
    <row r="186" ht="14.1"/>
    <row r="187" ht="14.1"/>
    <row r="188" ht="14.1"/>
    <row r="189" ht="14.1"/>
    <row r="190" ht="14.1"/>
    <row r="191" ht="14.1"/>
    <row r="192" ht="14.1"/>
    <row r="193" ht="14.1"/>
    <row r="194" ht="14.1"/>
    <row r="195" ht="14.1"/>
    <row r="196" ht="14.1"/>
    <row r="197" ht="14.1"/>
    <row r="198" ht="14.1"/>
    <row r="199" ht="14.1"/>
    <row r="200" ht="14.1"/>
    <row r="201" ht="14.1"/>
    <row r="202" ht="14.1"/>
    <row r="203" ht="14.1"/>
    <row r="204" ht="14.1"/>
    <row r="205" ht="14.1"/>
    <row r="206" ht="14.1"/>
    <row r="207" ht="14.1"/>
    <row r="208" ht="14.1"/>
    <row r="209" ht="14.1"/>
    <row r="210" ht="14.1"/>
    <row r="211" ht="14.1"/>
    <row r="212" ht="14.1"/>
    <row r="213" ht="14.1"/>
    <row r="214" ht="14.1"/>
    <row r="215" ht="14.1"/>
    <row r="216" ht="14.1"/>
    <row r="217" ht="14.1"/>
    <row r="218" ht="14.1"/>
    <row r="219" ht="14.1"/>
    <row r="220" ht="14.1"/>
    <row r="221" ht="14.1"/>
    <row r="222" ht="14.1"/>
    <row r="223" ht="14.1"/>
    <row r="224" ht="14.1"/>
    <row r="225" ht="14.1"/>
    <row r="226" ht="14.1"/>
    <row r="227" ht="14.1"/>
    <row r="228" ht="14.1"/>
    <row r="229" ht="14.1"/>
    <row r="230" ht="14.1"/>
    <row r="231" ht="14.1"/>
    <row r="232" ht="14.1"/>
    <row r="233" ht="14.1"/>
    <row r="234" ht="14.1"/>
    <row r="235" ht="14.1"/>
    <row r="236" ht="14.1"/>
    <row r="237" ht="14.1"/>
    <row r="238" ht="14.1"/>
    <row r="239" ht="14.1"/>
    <row r="240" ht="14.1"/>
    <row r="241" ht="14.1"/>
    <row r="242" ht="14.1"/>
    <row r="243" ht="14.1"/>
    <row r="244" ht="14.1"/>
    <row r="245" ht="14.1"/>
    <row r="246" ht="14.1"/>
    <row r="247" ht="14.1"/>
    <row r="248" ht="14.1"/>
    <row r="249" ht="14.1"/>
    <row r="250" ht="14.1"/>
    <row r="251" ht="14.1"/>
    <row r="252" ht="14.1"/>
    <row r="253" ht="14.1"/>
    <row r="254" ht="14.1"/>
    <row r="255" ht="14.1"/>
    <row r="256" ht="14.1"/>
    <row r="257" ht="14.1"/>
    <row r="258" ht="14.1"/>
    <row r="259" ht="14.1"/>
    <row r="260" ht="14.1"/>
    <row r="261" ht="14.1"/>
    <row r="262" ht="14.1"/>
    <row r="263" ht="14.1"/>
    <row r="264" ht="14.1"/>
    <row r="265" ht="14.1"/>
    <row r="266" ht="14.1"/>
    <row r="267" ht="14.1"/>
    <row r="268" ht="14.1"/>
    <row r="269" ht="14.1"/>
    <row r="270" ht="14.1"/>
    <row r="271" ht="14.1"/>
    <row r="272" ht="14.1"/>
    <row r="273" ht="14.1"/>
    <row r="274" ht="14.1"/>
    <row r="275" ht="14.1"/>
    <row r="276" ht="14.1"/>
    <row r="277" ht="14.1"/>
    <row r="278" ht="14.1"/>
    <row r="279" ht="14.1"/>
    <row r="280" ht="14.1"/>
    <row r="281" ht="14.1"/>
    <row r="282" ht="14.1"/>
    <row r="283" ht="14.1"/>
    <row r="284" ht="14.1"/>
    <row r="285" ht="14.1"/>
    <row r="286" ht="14.1"/>
    <row r="287" ht="14.1"/>
    <row r="288" ht="14.1"/>
    <row r="289" ht="14.1"/>
    <row r="290" ht="14.1"/>
    <row r="291" ht="14.1"/>
    <row r="292" ht="14.1"/>
    <row r="293" ht="14.1"/>
    <row r="294" ht="14.1"/>
    <row r="295" ht="14.1"/>
    <row r="296" ht="14.1"/>
    <row r="297" ht="14.1"/>
    <row r="298" ht="14.1"/>
    <row r="299" ht="14.1"/>
    <row r="300" ht="14.1"/>
    <row r="301" ht="14.1"/>
    <row r="302" ht="14.1"/>
    <row r="303" ht="14.1"/>
    <row r="304" ht="14.1"/>
    <row r="305" ht="14.1"/>
    <row r="306" ht="14.1"/>
    <row r="307" ht="14.1"/>
    <row r="308" ht="14.1"/>
    <row r="309" ht="14.1"/>
    <row r="310" ht="14.1"/>
    <row r="311" ht="14.1"/>
    <row r="312" ht="14.1"/>
    <row r="313" ht="14.1"/>
    <row r="314" ht="14.1"/>
    <row r="315" ht="14.1"/>
    <row r="316" ht="14.1"/>
    <row r="317" ht="14.1"/>
    <row r="318" ht="14.1"/>
    <row r="319" ht="14.1"/>
    <row r="320" ht="14.1"/>
    <row r="321" ht="14.1"/>
    <row r="322" ht="14.1"/>
    <row r="323" ht="14.1"/>
    <row r="324" ht="14.1"/>
    <row r="325" ht="14.1"/>
    <row r="326" ht="14.1"/>
    <row r="327" ht="14.1"/>
    <row r="328" ht="14.1"/>
    <row r="329" ht="14.1"/>
    <row r="330" ht="14.1"/>
    <row r="331" ht="14.1"/>
    <row r="332" ht="14.1"/>
    <row r="333" ht="14.1"/>
    <row r="334" ht="14.1"/>
    <row r="335" ht="14.1"/>
    <row r="336" ht="14.1"/>
    <row r="337" ht="14.1"/>
    <row r="338" ht="14.1"/>
    <row r="339" ht="14.1"/>
    <row r="340" ht="14.1"/>
    <row r="341" ht="14.1"/>
    <row r="342" ht="14.1"/>
    <row r="343" ht="14.1"/>
    <row r="344" ht="14.1"/>
    <row r="345" ht="14.1"/>
    <row r="346" ht="14.1"/>
    <row r="347" ht="14.1"/>
    <row r="348" ht="14.1"/>
    <row r="349" ht="14.1"/>
    <row r="350" ht="14.1"/>
    <row r="351" ht="14.1"/>
    <row r="352" ht="14.1"/>
    <row r="353" ht="14.1"/>
    <row r="354" ht="14.1"/>
    <row r="355" ht="14.1"/>
    <row r="356" ht="14.1"/>
    <row r="357" ht="14.1"/>
    <row r="358" ht="14.1"/>
    <row r="359" ht="14.1"/>
    <row r="360" ht="14.1"/>
    <row r="361" ht="14.1"/>
    <row r="362" ht="14.1"/>
    <row r="363" ht="14.1"/>
    <row r="364" ht="14.1"/>
    <row r="365" ht="14.1"/>
    <row r="366" ht="14.1"/>
    <row r="367" ht="14.1"/>
    <row r="368" ht="14.1"/>
    <row r="369" ht="14.1"/>
    <row r="370" ht="14.1"/>
    <row r="371" ht="14.1"/>
    <row r="372" ht="14.1"/>
    <row r="373" ht="14.1"/>
    <row r="374" ht="14.1"/>
    <row r="375" ht="14.1"/>
    <row r="376" ht="14.1"/>
    <row r="377" ht="14.1"/>
    <row r="378" ht="14.1"/>
    <row r="379" ht="14.1"/>
    <row r="380" ht="14.1"/>
    <row r="381" ht="14.1"/>
    <row r="382" ht="14.1"/>
    <row r="383" ht="14.1"/>
    <row r="384" ht="14.1"/>
    <row r="385" ht="14.1"/>
    <row r="386" ht="14.1"/>
    <row r="387" ht="14.1"/>
    <row r="388" ht="14.1"/>
    <row r="389" ht="14.1"/>
    <row r="390" ht="14.1"/>
    <row r="391" ht="14.1"/>
    <row r="392" ht="14.1"/>
    <row r="393" ht="14.1"/>
    <row r="394" ht="14.1"/>
    <row r="395" ht="14.1"/>
    <row r="396" ht="14.1"/>
    <row r="397" ht="14.1"/>
    <row r="398" ht="14.1"/>
    <row r="399" ht="14.1"/>
    <row r="400" ht="14.1"/>
    <row r="401" ht="14.1"/>
    <row r="402" ht="14.1"/>
    <row r="403" ht="14.1"/>
    <row r="404" ht="14.1"/>
    <row r="405" ht="14.1"/>
    <row r="406" ht="14.1"/>
    <row r="407" ht="14.1"/>
    <row r="408" ht="14.1"/>
    <row r="409" ht="14.1"/>
    <row r="410" ht="14.1"/>
    <row r="411" ht="14.1"/>
    <row r="412" ht="14.1"/>
    <row r="413" ht="14.1"/>
    <row r="414" ht="14.1"/>
    <row r="415" ht="14.1"/>
    <row r="416" ht="14.1"/>
    <row r="417" ht="14.1"/>
    <row r="418" ht="14.1"/>
    <row r="419" ht="14.1"/>
    <row r="420" ht="14.1"/>
    <row r="421" ht="14.1"/>
    <row r="422" ht="14.1"/>
    <row r="423" ht="14.1"/>
    <row r="424" ht="14.1"/>
    <row r="425" ht="14.1"/>
    <row r="426" ht="14.1"/>
    <row r="427" ht="14.1"/>
    <row r="428" ht="14.1"/>
    <row r="429" ht="14.1"/>
    <row r="430" ht="14.1"/>
    <row r="431" ht="14.1"/>
    <row r="432" ht="14.1"/>
    <row r="433" ht="14.1"/>
    <row r="434" ht="14.1"/>
    <row r="435" ht="14.1"/>
    <row r="436" ht="14.1"/>
    <row r="437" ht="14.1"/>
    <row r="438" ht="14.1"/>
    <row r="439" ht="14.1"/>
    <row r="440" ht="14.1"/>
    <row r="441" ht="14.1"/>
    <row r="442" ht="14.1"/>
    <row r="443" ht="14.1"/>
    <row r="444" ht="14.1"/>
    <row r="445" ht="14.1"/>
    <row r="446" ht="14.1"/>
    <row r="447" ht="14.1"/>
    <row r="448" ht="14.1"/>
    <row r="449" ht="14.1"/>
    <row r="450" ht="14.1"/>
    <row r="451" ht="14.1"/>
    <row r="452" ht="14.1"/>
    <row r="453" ht="14.1"/>
    <row r="454" ht="14.1"/>
    <row r="455" ht="14.1"/>
    <row r="456" ht="14.1"/>
    <row r="457" ht="14.1"/>
    <row r="458" ht="14.1"/>
    <row r="459" ht="14.1"/>
    <row r="460" ht="14.1"/>
    <row r="461" ht="14.1"/>
    <row r="462" ht="14.1"/>
    <row r="463" ht="14.1"/>
    <row r="464" ht="14.1"/>
    <row r="465" ht="14.1"/>
    <row r="466" ht="14.1"/>
    <row r="467" ht="14.1"/>
    <row r="468" ht="14.1"/>
    <row r="469" ht="14.1"/>
    <row r="470" ht="14.1"/>
    <row r="471" ht="14.1"/>
    <row r="472" ht="14.1"/>
    <row r="473" ht="14.1"/>
    <row r="474" ht="14.1"/>
    <row r="475" ht="14.1"/>
    <row r="476" ht="14.1"/>
    <row r="477" ht="14.1"/>
    <row r="478" ht="14.1"/>
    <row r="479" ht="14.1"/>
    <row r="480" ht="14.1"/>
    <row r="481" ht="14.1"/>
    <row r="482" ht="14.1"/>
    <row r="483" ht="14.1"/>
    <row r="484" ht="14.1"/>
    <row r="485" ht="14.1"/>
    <row r="486" ht="14.1"/>
    <row r="487" ht="14.1"/>
    <row r="488" ht="14.1"/>
    <row r="489" ht="14.1"/>
    <row r="490" ht="14.1"/>
    <row r="491" ht="14.1"/>
    <row r="492" ht="14.1"/>
    <row r="493" ht="14.1"/>
    <row r="494" ht="14.1"/>
    <row r="495" ht="14.1"/>
    <row r="496" ht="14.1"/>
    <row r="497" ht="14.1"/>
    <row r="498" ht="14.1"/>
    <row r="499" ht="14.1"/>
    <row r="500" ht="14.1"/>
    <row r="501" ht="14.1"/>
    <row r="502" ht="14.1"/>
    <row r="503" ht="14.1"/>
    <row r="504" ht="14.1"/>
    <row r="505" ht="14.1"/>
    <row r="506" ht="14.1"/>
    <row r="507" ht="14.1"/>
    <row r="508" ht="14.1"/>
    <row r="509" ht="14.1"/>
    <row r="510" ht="14.1"/>
    <row r="511" ht="14.1"/>
    <row r="512" ht="14.1"/>
    <row r="513" ht="14.1"/>
    <row r="514" ht="14.1"/>
    <row r="515" ht="14.1"/>
    <row r="516" ht="14.1"/>
    <row r="517" ht="14.1"/>
    <row r="518" ht="14.1"/>
    <row r="519" ht="14.1"/>
    <row r="520" ht="14.1"/>
    <row r="521" ht="14.1"/>
    <row r="522" ht="14.1"/>
    <row r="523" ht="14.1"/>
    <row r="524" ht="14.1"/>
    <row r="525" ht="14.1"/>
    <row r="526" ht="14.1"/>
    <row r="527" ht="14.1"/>
    <row r="528" ht="14.1"/>
    <row r="529" ht="14.1"/>
    <row r="530" ht="14.1"/>
    <row r="531" ht="14.1"/>
    <row r="532" ht="14.1"/>
    <row r="533" ht="14.1"/>
    <row r="534" ht="14.1"/>
    <row r="535" ht="14.1"/>
    <row r="536" ht="14.1"/>
    <row r="537" ht="14.1"/>
    <row r="538" ht="14.1"/>
    <row r="539" ht="14.1"/>
    <row r="540" ht="14.1"/>
    <row r="541" ht="14.1"/>
    <row r="542" ht="14.1"/>
    <row r="543" ht="14.1"/>
    <row r="544" ht="14.1"/>
    <row r="545" ht="14.1"/>
    <row r="546" ht="14.1"/>
    <row r="547" ht="14.1"/>
    <row r="548" ht="14.1"/>
    <row r="549" ht="14.1"/>
    <row r="550" ht="14.1"/>
    <row r="551" ht="14.1"/>
    <row r="552" ht="14.1"/>
    <row r="553" ht="14.1"/>
    <row r="554" ht="14.1"/>
    <row r="555" ht="14.1"/>
    <row r="556" ht="14.1"/>
    <row r="557" ht="14.1"/>
    <row r="558" ht="14.1"/>
    <row r="559" ht="14.1"/>
    <row r="560" ht="14.1"/>
    <row r="561" ht="14.1"/>
    <row r="562" ht="14.1"/>
    <row r="563" ht="14.1"/>
    <row r="564" ht="14.1"/>
    <row r="565" ht="14.1"/>
    <row r="566" ht="14.1"/>
    <row r="567" ht="14.1"/>
    <row r="568" ht="14.1"/>
    <row r="569" ht="14.1"/>
    <row r="570" ht="14.1"/>
    <row r="571" ht="14.1"/>
    <row r="572" ht="14.1"/>
    <row r="573" ht="14.1"/>
    <row r="574" ht="14.1"/>
    <row r="575" ht="14.1"/>
    <row r="576" ht="14.1"/>
    <row r="577" ht="14.1"/>
    <row r="578" ht="14.1"/>
    <row r="579" ht="14.1"/>
    <row r="580" ht="14.1"/>
    <row r="581" ht="14.1"/>
    <row r="582" ht="14.1"/>
    <row r="583" ht="14.1"/>
    <row r="584" ht="14.1"/>
    <row r="585" ht="14.1"/>
    <row r="586" ht="14.1"/>
    <row r="587" ht="14.1"/>
    <row r="588" ht="14.1"/>
    <row r="589" ht="14.1"/>
    <row r="590" ht="14.1"/>
    <row r="591" ht="14.1"/>
    <row r="592" ht="14.1"/>
    <row r="593" ht="14.1"/>
    <row r="594" ht="14.1"/>
    <row r="595" ht="14.1"/>
    <row r="596" ht="14.1"/>
    <row r="597" ht="14.1"/>
    <row r="598" ht="14.1"/>
    <row r="599" ht="14.1"/>
    <row r="600" ht="14.1"/>
    <row r="601" ht="14.1"/>
    <row r="602" ht="14.1"/>
    <row r="603" ht="14.1"/>
    <row r="604" ht="14.1"/>
    <row r="605" ht="14.1"/>
    <row r="606" ht="14.1"/>
    <row r="607" ht="14.1"/>
    <row r="608" ht="14.1"/>
    <row r="609" ht="14.1"/>
    <row r="610" ht="14.1"/>
    <row r="611" ht="14.1"/>
    <row r="612" ht="14.1"/>
    <row r="613" ht="14.1"/>
    <row r="614" ht="14.1"/>
    <row r="615" ht="14.1"/>
    <row r="616" ht="14.1"/>
    <row r="617" ht="14.1"/>
    <row r="618" ht="14.1"/>
    <row r="619" ht="14.1"/>
    <row r="620" ht="14.1"/>
    <row r="621" ht="14.1"/>
    <row r="622" ht="14.1"/>
    <row r="623" ht="14.1"/>
    <row r="624" ht="14.1"/>
    <row r="625" ht="14.1"/>
    <row r="626" ht="14.1"/>
    <row r="627" ht="14.1"/>
    <row r="628" ht="14.1"/>
    <row r="629" ht="14.1"/>
    <row r="630" ht="14.1"/>
    <row r="631" ht="14.1"/>
    <row r="632" ht="14.1"/>
    <row r="633" ht="14.1"/>
    <row r="634" ht="14.1"/>
    <row r="635" ht="14.1"/>
    <row r="636" ht="14.1"/>
    <row r="637" ht="14.1"/>
    <row r="638" ht="14.1"/>
    <row r="639" ht="14.1"/>
    <row r="640" ht="14.1"/>
    <row r="641" ht="14.1"/>
    <row r="642" ht="14.1"/>
    <row r="643" ht="14.1"/>
    <row r="644" ht="14.1"/>
    <row r="645" ht="14.1"/>
    <row r="646" ht="14.1"/>
    <row r="647" ht="14.1"/>
    <row r="648" ht="14.1"/>
    <row r="649" ht="14.1"/>
    <row r="650" ht="14.1"/>
    <row r="651" ht="14.1"/>
    <row r="652" ht="14.1"/>
    <row r="653" ht="14.1"/>
    <row r="654" ht="14.1"/>
    <row r="655" ht="14.1"/>
    <row r="656" ht="14.1"/>
    <row r="657" ht="14.1"/>
    <row r="658" ht="14.1"/>
    <row r="659" ht="14.1"/>
    <row r="660" ht="14.1"/>
    <row r="661" ht="14.1"/>
    <row r="662" ht="14.1"/>
    <row r="663" ht="14.1"/>
    <row r="664" ht="14.1"/>
    <row r="665" ht="14.1"/>
    <row r="666" ht="14.1"/>
    <row r="667" ht="14.1"/>
    <row r="668" ht="14.1"/>
    <row r="669" ht="14.1"/>
    <row r="670" ht="14.1"/>
    <row r="671" ht="14.1"/>
    <row r="672" ht="14.1"/>
    <row r="673" ht="14.1"/>
    <row r="674" ht="14.1"/>
    <row r="675" ht="14.1"/>
    <row r="676" ht="14.1"/>
    <row r="677" ht="14.1"/>
    <row r="678" ht="14.1"/>
    <row r="679" ht="14.1"/>
    <row r="680" ht="14.1"/>
    <row r="681" ht="14.1"/>
    <row r="682" ht="14.1"/>
    <row r="683" ht="14.1"/>
    <row r="684" ht="14.1"/>
    <row r="685" ht="14.1"/>
    <row r="686" ht="14.1"/>
    <row r="687" ht="14.1"/>
    <row r="688" ht="14.1"/>
    <row r="689" ht="14.1"/>
    <row r="690" ht="14.1"/>
    <row r="691" ht="14.1"/>
    <row r="692" ht="14.1"/>
    <row r="693" ht="14.1"/>
    <row r="694" ht="14.1"/>
    <row r="695" ht="14.1"/>
    <row r="696" ht="14.1"/>
    <row r="697" ht="14.1"/>
    <row r="698" ht="14.1"/>
    <row r="699" ht="14.1"/>
    <row r="700" ht="14.1"/>
    <row r="701" ht="14.1"/>
    <row r="702" ht="14.1"/>
    <row r="703" ht="14.1"/>
    <row r="704" ht="14.1"/>
    <row r="705" ht="14.1"/>
    <row r="706" ht="14.1"/>
    <row r="707" ht="14.1"/>
    <row r="708" ht="14.1"/>
    <row r="709" ht="14.1"/>
    <row r="710" ht="14.1"/>
    <row r="711" ht="14.1"/>
    <row r="712" ht="14.1"/>
    <row r="713" ht="14.1"/>
    <row r="714" ht="14.1"/>
    <row r="715" ht="14.1"/>
    <row r="716" ht="14.1"/>
    <row r="717" ht="14.1"/>
    <row r="718" ht="14.1"/>
    <row r="719" ht="14.1"/>
    <row r="720" ht="14.1"/>
    <row r="721" ht="14.1"/>
    <row r="722" ht="14.1"/>
    <row r="723" ht="14.1"/>
    <row r="724" ht="14.1"/>
    <row r="725" ht="14.1"/>
    <row r="726" ht="14.1"/>
    <row r="727" ht="14.1"/>
    <row r="728" ht="14.1"/>
    <row r="729" ht="14.1"/>
    <row r="730" ht="14.1"/>
    <row r="731" ht="14.1"/>
    <row r="732" ht="14.1"/>
    <row r="733" ht="14.1"/>
    <row r="734" ht="14.1"/>
    <row r="735" ht="14.1"/>
    <row r="736" ht="14.1"/>
    <row r="737" ht="14.1"/>
    <row r="738" ht="14.1"/>
    <row r="739" ht="14.1"/>
    <row r="740" ht="14.1"/>
    <row r="741" ht="14.1"/>
    <row r="742" ht="14.1"/>
    <row r="743" ht="14.1"/>
    <row r="744" ht="14.1"/>
    <row r="745" ht="14.1"/>
    <row r="746" ht="14.1"/>
    <row r="747" ht="14.1"/>
    <row r="748" ht="14.1"/>
    <row r="749" ht="14.1"/>
    <row r="750" ht="14.1"/>
    <row r="751" ht="14.1"/>
    <row r="752" ht="14.1"/>
    <row r="753" ht="14.1"/>
    <row r="754" ht="14.1"/>
    <row r="755" ht="14.1"/>
    <row r="756" ht="14.1"/>
    <row r="757" ht="14.1"/>
    <row r="758" ht="14.1"/>
    <row r="759" ht="14.1"/>
    <row r="760" ht="14.1"/>
    <row r="761" ht="14.1"/>
    <row r="762" ht="14.1"/>
    <row r="763" ht="14.1"/>
    <row r="764" ht="14.1"/>
    <row r="765" ht="14.1"/>
    <row r="766" ht="14.1"/>
    <row r="767" ht="14.1"/>
    <row r="768" ht="14.1"/>
    <row r="769" ht="14.1"/>
    <row r="770" ht="14.1"/>
    <row r="771" ht="14.1"/>
    <row r="772" ht="14.1"/>
    <row r="773" ht="14.1"/>
    <row r="774" ht="14.1"/>
    <row r="775" ht="14.1"/>
    <row r="776" ht="14.1"/>
    <row r="777" ht="14.1"/>
    <row r="778" ht="14.1"/>
    <row r="779" ht="14.1"/>
    <row r="780" ht="14.1"/>
    <row r="781" ht="14.1"/>
    <row r="782" ht="14.1"/>
    <row r="783" ht="14.1"/>
    <row r="784" ht="14.1"/>
    <row r="785" ht="14.1"/>
    <row r="786" ht="14.1"/>
    <row r="787" ht="14.1"/>
    <row r="788" ht="14.1"/>
    <row r="789" ht="14.1"/>
    <row r="790" ht="14.1"/>
    <row r="791" ht="14.1"/>
    <row r="792" ht="14.1"/>
    <row r="793" ht="14.1"/>
    <row r="794" ht="14.1"/>
    <row r="795" ht="14.1"/>
    <row r="796" ht="14.1"/>
    <row r="797" ht="14.1"/>
    <row r="798" ht="14.1"/>
    <row r="799" ht="14.1"/>
    <row r="800" ht="14.1"/>
    <row r="801" ht="14.1"/>
    <row r="802" ht="14.1"/>
    <row r="803" ht="14.1"/>
    <row r="804" ht="14.1"/>
    <row r="805" ht="14.1"/>
    <row r="806" ht="14.1"/>
    <row r="807" ht="14.1"/>
    <row r="808" ht="14.1"/>
    <row r="809" ht="14.1"/>
    <row r="810" ht="14.1"/>
    <row r="811" ht="14.1"/>
    <row r="812" ht="14.1"/>
    <row r="813" ht="14.1"/>
    <row r="814" ht="14.1"/>
    <row r="815" ht="14.1"/>
    <row r="816" ht="14.1"/>
    <row r="817" ht="14.1"/>
    <row r="818" ht="14.1"/>
    <row r="819" ht="14.1"/>
    <row r="820" ht="14.1"/>
    <row r="821" ht="14.1"/>
    <row r="822" ht="14.1"/>
    <row r="823" ht="14.1"/>
    <row r="824" ht="14.1"/>
    <row r="825" ht="14.1"/>
    <row r="826" ht="14.1"/>
    <row r="827" ht="14.1"/>
    <row r="828" ht="14.1"/>
    <row r="829" ht="14.1"/>
    <row r="830" ht="14.1"/>
    <row r="831" ht="14.1"/>
    <row r="832" ht="14.1"/>
    <row r="833" ht="14.1"/>
    <row r="834" ht="14.1"/>
    <row r="835" ht="14.1"/>
    <row r="836" ht="14.1"/>
    <row r="837" ht="14.1"/>
    <row r="838" ht="14.1"/>
    <row r="839" ht="14.1"/>
    <row r="840" ht="14.1"/>
    <row r="841" ht="14.1"/>
    <row r="842" ht="14.1"/>
    <row r="843" ht="14.1"/>
    <row r="844" ht="14.1"/>
    <row r="845" ht="14.1"/>
    <row r="846" ht="14.1"/>
    <row r="847" ht="14.1"/>
    <row r="848" ht="14.1"/>
    <row r="849" ht="14.1"/>
    <row r="850" ht="14.1"/>
    <row r="851" ht="14.1"/>
    <row r="852" ht="14.1"/>
    <row r="853" ht="14.1"/>
    <row r="854" ht="14.1"/>
    <row r="855" ht="14.1"/>
    <row r="856" ht="14.1"/>
    <row r="857" ht="14.1"/>
    <row r="858" ht="14.1"/>
    <row r="859" ht="14.1"/>
    <row r="860" ht="14.1"/>
    <row r="861" ht="14.1"/>
    <row r="862" ht="14.1"/>
    <row r="863" ht="14.1"/>
    <row r="864" ht="14.1"/>
    <row r="865" ht="14.1"/>
    <row r="866" ht="14.1"/>
    <row r="867" ht="14.1"/>
    <row r="868" ht="14.1"/>
    <row r="869" ht="14.1"/>
    <row r="870" ht="14.1"/>
    <row r="871" ht="14.1"/>
    <row r="872" ht="14.1"/>
    <row r="873" ht="14.1"/>
    <row r="874" ht="14.1"/>
    <row r="875" ht="14.1"/>
    <row r="876" ht="14.1"/>
    <row r="877" ht="14.1"/>
    <row r="878" ht="14.1"/>
    <row r="879" ht="14.1"/>
    <row r="880" ht="14.1"/>
    <row r="881" ht="14.1"/>
    <row r="882" ht="14.1"/>
    <row r="883" ht="14.1"/>
    <row r="884" ht="14.1"/>
    <row r="885" ht="14.1"/>
    <row r="886" ht="14.1"/>
    <row r="887" ht="14.1"/>
    <row r="888" ht="14.1"/>
    <row r="889" ht="14.1"/>
    <row r="890" ht="14.1"/>
    <row r="891" ht="14.1"/>
    <row r="892" ht="14.1"/>
    <row r="893" ht="14.1"/>
    <row r="894" ht="14.1"/>
    <row r="895" ht="14.1"/>
    <row r="896" ht="14.1"/>
    <row r="897" ht="14.1"/>
    <row r="898" ht="14.1"/>
    <row r="899" ht="14.1"/>
    <row r="900" ht="14.1"/>
    <row r="901" ht="14.1"/>
    <row r="902" ht="14.1"/>
    <row r="903" ht="14.1"/>
    <row r="904" ht="14.1"/>
    <row r="905" ht="14.1"/>
    <row r="906" ht="14.1"/>
    <row r="907" ht="14.1"/>
    <row r="908" ht="14.1"/>
    <row r="909" ht="14.1"/>
    <row r="910" ht="14.1"/>
    <row r="911" ht="14.1"/>
    <row r="912" ht="14.1"/>
    <row r="913" ht="14.1"/>
    <row r="914" ht="14.1"/>
    <row r="915" ht="14.1"/>
    <row r="916" ht="14.1"/>
    <row r="917" ht="14.1"/>
    <row r="918" ht="14.1"/>
    <row r="919" ht="14.1"/>
    <row r="920" ht="14.1"/>
    <row r="921" ht="14.1"/>
    <row r="922" ht="14.1"/>
    <row r="923" ht="14.1"/>
    <row r="924" ht="14.1"/>
    <row r="925" ht="14.1"/>
    <row r="926" ht="14.1"/>
    <row r="927" ht="14.1"/>
    <row r="928" ht="14.1"/>
    <row r="929" ht="14.1"/>
    <row r="930" ht="14.1"/>
    <row r="931" ht="14.1"/>
    <row r="932" ht="14.1"/>
    <row r="933" ht="14.1"/>
    <row r="934" ht="14.1"/>
    <row r="935" ht="14.1"/>
    <row r="936" ht="14.1"/>
    <row r="937" ht="14.1"/>
    <row r="938" ht="14.1"/>
    <row r="939" ht="14.1"/>
    <row r="940" ht="14.1"/>
    <row r="941" ht="14.1"/>
    <row r="942" ht="14.1"/>
    <row r="943" ht="14.1"/>
    <row r="944" ht="14.1"/>
    <row r="945" ht="14.1"/>
    <row r="946" ht="14.1"/>
    <row r="947" ht="14.1"/>
    <row r="948" ht="14.1"/>
    <row r="949" ht="14.1"/>
    <row r="950" ht="14.1"/>
    <row r="951" ht="14.1"/>
    <row r="952" ht="14.1"/>
    <row r="953" ht="14.1"/>
    <row r="954" ht="14.1"/>
    <row r="955" ht="14.1"/>
    <row r="956" ht="14.1"/>
    <row r="957" ht="14.1"/>
    <row r="958" ht="14.1"/>
    <row r="959" ht="14.1"/>
    <row r="960" ht="14.1"/>
    <row r="961" ht="14.1"/>
    <row r="962" ht="14.1"/>
    <row r="963" ht="14.1"/>
    <row r="964" ht="14.1"/>
    <row r="965" ht="14.1"/>
    <row r="966" ht="14.1"/>
    <row r="967" ht="14.1"/>
    <row r="968" ht="14.1"/>
    <row r="969" ht="14.1"/>
    <row r="970" ht="14.1"/>
    <row r="971" ht="14.1"/>
    <row r="972" ht="14.1"/>
    <row r="973" ht="14.1"/>
    <row r="974" ht="14.1"/>
    <row r="975" ht="14.1"/>
    <row r="976" ht="14.1"/>
    <row r="977" ht="14.1"/>
    <row r="978" ht="14.1"/>
    <row r="979" ht="14.1"/>
    <row r="980" ht="14.1"/>
    <row r="981" ht="14.1"/>
    <row r="982" ht="14.1"/>
    <row r="983" ht="14.1"/>
    <row r="984" ht="14.1"/>
    <row r="985" ht="14.1"/>
    <row r="986" ht="14.1"/>
    <row r="987" ht="14.1"/>
    <row r="988" ht="14.1"/>
    <row r="989" ht="14.1"/>
    <row r="990" ht="14.1"/>
    <row r="991" ht="14.1"/>
    <row r="992" ht="14.1"/>
  </sheetData>
  <pageMargins left="0" right="0" top="0" bottom="0" header="0" footer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B1:CL105"/>
  <sheetViews>
    <sheetView workbookViewId="0"/>
  </sheetViews>
  <sheetFormatPr defaultColWidth="12.625" defaultRowHeight="15" customHeight="1" outlineLevelRow="1" outlineLevelCol="1"/>
  <cols>
    <col min="1" max="1" width="2.125" customWidth="1"/>
    <col min="2" max="2" width="6.625" customWidth="1"/>
    <col min="3" max="3" width="36.5" customWidth="1"/>
    <col min="4" max="4" width="9.625" customWidth="1"/>
    <col min="5" max="5" width="5.5" customWidth="1"/>
    <col min="6" max="6" width="4.125" customWidth="1"/>
    <col min="7" max="7" width="3.875" customWidth="1"/>
    <col min="8" max="8" width="4.125" customWidth="1"/>
    <col min="9" max="9" width="7.125" customWidth="1"/>
    <col min="10" max="10" width="8.125" customWidth="1"/>
    <col min="11" max="11" width="10.125" customWidth="1"/>
    <col min="12" max="12" width="9.625" customWidth="1"/>
    <col min="13" max="13" width="8.625" customWidth="1"/>
    <col min="14" max="14" width="9.625" customWidth="1"/>
    <col min="15" max="18" width="8.625" customWidth="1"/>
    <col min="19" max="19" width="9.625" customWidth="1"/>
    <col min="20" max="22" width="8.625" customWidth="1"/>
    <col min="23" max="31" width="9.625" customWidth="1"/>
    <col min="32" max="32" width="10.125" customWidth="1"/>
    <col min="33" max="34" width="9.625" customWidth="1"/>
    <col min="35" max="35" width="15" customWidth="1"/>
    <col min="36" max="40" width="9.375" customWidth="1"/>
    <col min="41" max="41" width="5.625" customWidth="1" collapsed="1"/>
    <col min="42" max="52" width="5.625" hidden="1" customWidth="1" outlineLevel="1"/>
    <col min="53" max="53" width="5.625" customWidth="1" collapsed="1"/>
    <col min="54" max="64" width="5.625" hidden="1" customWidth="1" outlineLevel="1"/>
    <col min="65" max="65" width="5.625" customWidth="1" collapsed="1"/>
    <col min="66" max="75" width="5.625" hidden="1" customWidth="1" outlineLevel="1"/>
    <col min="76" max="76" width="10.625" hidden="1" customWidth="1" outlineLevel="1"/>
    <col min="77" max="77" width="5.625" customWidth="1" collapsed="1"/>
    <col min="78" max="88" width="5.625" hidden="1" customWidth="1" outlineLevel="1"/>
    <col min="89" max="89" width="8.5" customWidth="1"/>
    <col min="90" max="90" width="13.125" customWidth="1"/>
    <col min="91" max="92" width="5.625" customWidth="1"/>
  </cols>
  <sheetData>
    <row r="1" spans="2:90">
      <c r="E1" s="549">
        <v>2024</v>
      </c>
      <c r="F1" s="567"/>
      <c r="G1" s="567"/>
      <c r="H1" s="567"/>
      <c r="I1" s="567"/>
      <c r="J1" s="567"/>
      <c r="K1" s="567"/>
      <c r="L1" s="567"/>
      <c r="M1" s="567"/>
      <c r="N1" s="567"/>
      <c r="O1" s="567"/>
      <c r="P1" s="568"/>
      <c r="Q1" s="549">
        <f>E1+1</f>
        <v>2025</v>
      </c>
      <c r="R1" s="567"/>
      <c r="S1" s="567"/>
      <c r="T1" s="567"/>
      <c r="U1" s="567"/>
      <c r="V1" s="567"/>
      <c r="W1" s="567"/>
      <c r="X1" s="567"/>
      <c r="Y1" s="567"/>
      <c r="Z1" s="567"/>
      <c r="AA1" s="567"/>
      <c r="AB1" s="568"/>
      <c r="AC1" s="549">
        <f>Q1+1</f>
        <v>2026</v>
      </c>
      <c r="AD1" s="567"/>
      <c r="AE1" s="567"/>
      <c r="AF1" s="567"/>
      <c r="AG1" s="567"/>
      <c r="AH1" s="567"/>
      <c r="AI1" s="567"/>
      <c r="AJ1" s="567"/>
      <c r="AK1" s="567"/>
      <c r="AL1" s="567"/>
      <c r="AM1" s="567"/>
      <c r="AN1" s="568"/>
      <c r="AO1" s="549">
        <f>AC1+1</f>
        <v>2027</v>
      </c>
      <c r="AP1" s="567"/>
      <c r="AQ1" s="567"/>
      <c r="AR1" s="567"/>
      <c r="AS1" s="567"/>
      <c r="AT1" s="567"/>
      <c r="AU1" s="567"/>
      <c r="AV1" s="567"/>
      <c r="AW1" s="567"/>
      <c r="AX1" s="567"/>
      <c r="AY1" s="567"/>
      <c r="AZ1" s="568"/>
      <c r="BA1" s="549">
        <f>AO1+1</f>
        <v>2028</v>
      </c>
      <c r="BB1" s="567"/>
      <c r="BC1" s="567"/>
      <c r="BD1" s="567"/>
      <c r="BE1" s="567"/>
      <c r="BF1" s="567"/>
      <c r="BG1" s="567"/>
      <c r="BH1" s="567"/>
      <c r="BI1" s="567"/>
      <c r="BJ1" s="567"/>
      <c r="BK1" s="567"/>
      <c r="BL1" s="568"/>
      <c r="BM1" s="549">
        <f>BA1+1</f>
        <v>2029</v>
      </c>
      <c r="BN1" s="567"/>
      <c r="BO1" s="567"/>
      <c r="BP1" s="567"/>
      <c r="BQ1" s="567"/>
      <c r="BR1" s="567"/>
      <c r="BS1" s="567"/>
      <c r="BT1" s="567"/>
      <c r="BU1" s="567"/>
      <c r="BV1" s="567"/>
      <c r="BW1" s="567"/>
      <c r="BX1" s="568"/>
      <c r="BY1" s="549">
        <f>BM1+1</f>
        <v>2030</v>
      </c>
      <c r="BZ1" s="567"/>
      <c r="CA1" s="567"/>
      <c r="CB1" s="567"/>
      <c r="CC1" s="567"/>
      <c r="CD1" s="567"/>
      <c r="CE1" s="567"/>
      <c r="CF1" s="567"/>
      <c r="CG1" s="567"/>
      <c r="CH1" s="567"/>
      <c r="CI1" s="567"/>
      <c r="CJ1" s="568"/>
    </row>
    <row r="2" spans="2:90">
      <c r="E2" s="353">
        <v>45292</v>
      </c>
      <c r="F2" s="353">
        <v>45323</v>
      </c>
      <c r="G2" s="353">
        <v>45352</v>
      </c>
      <c r="H2" s="353">
        <v>45383</v>
      </c>
      <c r="I2" s="353">
        <v>45413</v>
      </c>
      <c r="J2" s="353">
        <v>45444</v>
      </c>
      <c r="K2" s="353">
        <v>45474</v>
      </c>
      <c r="L2" s="353">
        <v>45505</v>
      </c>
      <c r="M2" s="353">
        <v>45536</v>
      </c>
      <c r="N2" s="353">
        <v>45566</v>
      </c>
      <c r="O2" s="353">
        <v>45597</v>
      </c>
      <c r="P2" s="353">
        <v>45627</v>
      </c>
      <c r="Q2" s="353">
        <v>45292</v>
      </c>
      <c r="R2" s="353">
        <v>45323</v>
      </c>
      <c r="S2" s="353">
        <v>45352</v>
      </c>
      <c r="T2" s="353">
        <v>45383</v>
      </c>
      <c r="U2" s="353">
        <v>45413</v>
      </c>
      <c r="V2" s="353">
        <v>45444</v>
      </c>
      <c r="W2" s="353">
        <v>45474</v>
      </c>
      <c r="X2" s="353">
        <v>45505</v>
      </c>
      <c r="Y2" s="353">
        <v>45536</v>
      </c>
      <c r="Z2" s="353">
        <v>45566</v>
      </c>
      <c r="AA2" s="353">
        <v>45597</v>
      </c>
      <c r="AB2" s="353">
        <v>45627</v>
      </c>
      <c r="AC2" s="353">
        <v>45292</v>
      </c>
      <c r="AD2" s="353">
        <v>45323</v>
      </c>
      <c r="AE2" s="353">
        <v>45352</v>
      </c>
      <c r="AF2" s="353">
        <v>45383</v>
      </c>
      <c r="AG2" s="353">
        <v>45413</v>
      </c>
      <c r="AH2" s="353">
        <v>45444</v>
      </c>
      <c r="AI2" s="353">
        <v>45474</v>
      </c>
      <c r="AJ2" s="353">
        <v>45505</v>
      </c>
      <c r="AK2" s="353">
        <v>45536</v>
      </c>
      <c r="AL2" s="353">
        <v>45566</v>
      </c>
      <c r="AM2" s="353">
        <v>45597</v>
      </c>
      <c r="AN2" s="353">
        <v>45627</v>
      </c>
      <c r="AO2" s="353">
        <v>45292</v>
      </c>
      <c r="AP2" s="353">
        <v>45323</v>
      </c>
      <c r="AQ2" s="353">
        <v>45352</v>
      </c>
      <c r="AR2" s="353">
        <v>45383</v>
      </c>
      <c r="AS2" s="353">
        <v>45413</v>
      </c>
      <c r="AT2" s="353">
        <v>45444</v>
      </c>
      <c r="AU2" s="353">
        <v>45474</v>
      </c>
      <c r="AV2" s="353">
        <v>45505</v>
      </c>
      <c r="AW2" s="353">
        <v>45536</v>
      </c>
      <c r="AX2" s="353">
        <v>45566</v>
      </c>
      <c r="AY2" s="353">
        <v>45597</v>
      </c>
      <c r="AZ2" s="353">
        <v>45627</v>
      </c>
      <c r="BA2" s="353">
        <v>45292</v>
      </c>
      <c r="BB2" s="353">
        <v>45323</v>
      </c>
      <c r="BC2" s="353">
        <v>45352</v>
      </c>
      <c r="BD2" s="353">
        <v>45383</v>
      </c>
      <c r="BE2" s="353">
        <v>45413</v>
      </c>
      <c r="BF2" s="353">
        <v>45444</v>
      </c>
      <c r="BG2" s="353">
        <v>45474</v>
      </c>
      <c r="BH2" s="353">
        <v>45505</v>
      </c>
      <c r="BI2" s="353">
        <v>45536</v>
      </c>
      <c r="BJ2" s="353">
        <v>45566</v>
      </c>
      <c r="BK2" s="353">
        <v>45597</v>
      </c>
      <c r="BL2" s="353">
        <v>45627</v>
      </c>
      <c r="BM2" s="353">
        <v>45292</v>
      </c>
      <c r="BN2" s="353">
        <v>45323</v>
      </c>
      <c r="BO2" s="353">
        <v>45352</v>
      </c>
      <c r="BP2" s="353">
        <v>45383</v>
      </c>
      <c r="BQ2" s="353">
        <v>45413</v>
      </c>
      <c r="BR2" s="353">
        <v>45444</v>
      </c>
      <c r="BS2" s="353">
        <v>45474</v>
      </c>
      <c r="BT2" s="353">
        <v>45505</v>
      </c>
      <c r="BU2" s="353">
        <v>45536</v>
      </c>
      <c r="BV2" s="353">
        <v>45566</v>
      </c>
      <c r="BW2" s="353">
        <v>45597</v>
      </c>
      <c r="BX2" s="353">
        <v>45627</v>
      </c>
      <c r="BY2" s="353">
        <v>45292</v>
      </c>
      <c r="BZ2" s="353">
        <v>45323</v>
      </c>
      <c r="CA2" s="353">
        <v>45352</v>
      </c>
      <c r="CB2" s="353">
        <v>45383</v>
      </c>
      <c r="CC2" s="353">
        <v>45413</v>
      </c>
      <c r="CD2" s="353">
        <v>45444</v>
      </c>
      <c r="CE2" s="353">
        <v>45474</v>
      </c>
      <c r="CF2" s="353">
        <v>45505</v>
      </c>
      <c r="CG2" s="353">
        <v>45536</v>
      </c>
      <c r="CH2" s="353">
        <v>45566</v>
      </c>
      <c r="CI2" s="353">
        <v>45597</v>
      </c>
      <c r="CJ2" s="353">
        <v>45627</v>
      </c>
    </row>
    <row r="3" spans="2:90">
      <c r="B3" s="555" t="s">
        <v>178</v>
      </c>
      <c r="C3" s="354" t="s">
        <v>290</v>
      </c>
      <c r="D3" s="355" t="s">
        <v>180</v>
      </c>
      <c r="E3" s="356">
        <f>'Cash-flow BASE'!E5</f>
        <v>0</v>
      </c>
      <c r="F3" s="356">
        <f>'Cash-flow BASE'!F5</f>
        <v>0</v>
      </c>
      <c r="G3" s="356">
        <f>'Cash-flow BASE'!G5</f>
        <v>0</v>
      </c>
      <c r="H3" s="356">
        <f>'Cash-flow BASE'!H5</f>
        <v>0</v>
      </c>
      <c r="I3" s="356">
        <f>'Cash-flow BASE'!I5</f>
        <v>87324</v>
      </c>
      <c r="J3" s="356">
        <f>'Cash-flow BASE'!J5</f>
        <v>100000</v>
      </c>
      <c r="K3" s="356">
        <f>'Cash-flow BASE'!K5</f>
        <v>-3400000</v>
      </c>
      <c r="L3" s="356">
        <f>'Cash-flow BASE'!L5</f>
        <v>5024500</v>
      </c>
      <c r="M3" s="356">
        <f>'Cash-flow BASE'!M5</f>
        <v>1000</v>
      </c>
      <c r="N3" s="356">
        <f>'Cash-flow BASE'!N5</f>
        <v>80000</v>
      </c>
      <c r="O3" s="356">
        <f>'Cash-flow BASE'!O5</f>
        <v>0</v>
      </c>
      <c r="P3" s="356">
        <f>'Cash-flow BASE'!P5</f>
        <v>1050000</v>
      </c>
      <c r="Q3" s="356">
        <f>'Cash-flow BASE'!Q5</f>
        <v>0</v>
      </c>
      <c r="R3" s="356">
        <f>'Cash-flow BASE'!R5</f>
        <v>0</v>
      </c>
      <c r="S3" s="356">
        <f>'Cash-flow BASE'!S5</f>
        <v>280000</v>
      </c>
      <c r="T3" s="356">
        <f>'Cash-flow BASE'!T5</f>
        <v>0</v>
      </c>
      <c r="U3" s="356">
        <f>'Cash-flow BASE'!U5</f>
        <v>11550000</v>
      </c>
      <c r="V3" s="356">
        <f>'Cash-flow BASE'!V5</f>
        <v>0</v>
      </c>
      <c r="W3" s="356">
        <f>'Cash-flow BASE'!W5</f>
        <v>0</v>
      </c>
      <c r="X3" s="356">
        <f>'Cash-flow BASE'!X5</f>
        <v>0</v>
      </c>
      <c r="Y3" s="356">
        <f>'Cash-flow BASE'!Y5</f>
        <v>500000</v>
      </c>
      <c r="Z3" s="356">
        <f>'Cash-flow BASE'!Z5</f>
        <v>3500000</v>
      </c>
      <c r="AA3" s="356">
        <f>'Cash-flow BASE'!AA5</f>
        <v>4000000</v>
      </c>
      <c r="AB3" s="356">
        <f>'Cash-flow BASE'!AB5</f>
        <v>3500000</v>
      </c>
      <c r="AC3" s="356">
        <f>'Cash-flow BASE'!AC5</f>
        <v>0</v>
      </c>
      <c r="AD3" s="356">
        <f>'Cash-flow BASE'!AD5</f>
        <v>0</v>
      </c>
      <c r="AE3" s="356">
        <f>'Cash-flow BASE'!AE5</f>
        <v>0</v>
      </c>
      <c r="AF3" s="356">
        <f>'Cash-flow BASE'!AF5</f>
        <v>0</v>
      </c>
      <c r="AG3" s="356">
        <f>'Cash-flow BASE'!AG5</f>
        <v>0</v>
      </c>
      <c r="AH3" s="356">
        <f>'Cash-flow BASE'!AH5</f>
        <v>0</v>
      </c>
      <c r="AI3" s="356">
        <f>'Cash-flow BASE'!AI5</f>
        <v>0</v>
      </c>
      <c r="AJ3" s="356">
        <f>'Cash-flow BASE'!AJ5</f>
        <v>0</v>
      </c>
      <c r="AK3" s="356">
        <f>'Cash-flow BASE'!AK5</f>
        <v>0</v>
      </c>
      <c r="AL3" s="356">
        <f>'Cash-flow BASE'!AL5</f>
        <v>0</v>
      </c>
      <c r="AM3" s="356">
        <f>'Cash-flow BASE'!AM5</f>
        <v>0</v>
      </c>
      <c r="AN3" s="356">
        <f>'Cash-flow BASE'!AN5</f>
        <v>0</v>
      </c>
      <c r="AO3" s="356">
        <f>'Cash-flow BASE'!AO5</f>
        <v>0</v>
      </c>
      <c r="AP3" s="356">
        <f>'Cash-flow BASE'!AP5</f>
        <v>0</v>
      </c>
      <c r="AQ3" s="356">
        <f>'Cash-flow BASE'!AQ5</f>
        <v>0</v>
      </c>
      <c r="AR3" s="356">
        <f>'Cash-flow BASE'!AR5</f>
        <v>0</v>
      </c>
      <c r="AS3" s="356">
        <f>'Cash-flow BASE'!AS5</f>
        <v>0</v>
      </c>
      <c r="AT3" s="356">
        <f>'Cash-flow BASE'!AT5</f>
        <v>0</v>
      </c>
      <c r="AU3" s="356">
        <f>'Cash-flow BASE'!AU5</f>
        <v>0</v>
      </c>
      <c r="AV3" s="356">
        <f>'Cash-flow BASE'!AV5</f>
        <v>0</v>
      </c>
      <c r="AW3" s="356">
        <f>'Cash-flow BASE'!AW5</f>
        <v>0</v>
      </c>
      <c r="AX3" s="356">
        <f>'Cash-flow BASE'!AX5</f>
        <v>0</v>
      </c>
      <c r="AY3" s="356">
        <f>'Cash-flow BASE'!AY5</f>
        <v>0</v>
      </c>
      <c r="AZ3" s="356">
        <f>'Cash-flow BASE'!AZ5</f>
        <v>0</v>
      </c>
      <c r="BA3" s="356">
        <f>'Cash-flow BASE'!BA5</f>
        <v>0</v>
      </c>
      <c r="BB3" s="356">
        <f>'Cash-flow BASE'!BB5</f>
        <v>0</v>
      </c>
      <c r="BC3" s="356">
        <f>'Cash-flow BASE'!BC5</f>
        <v>0</v>
      </c>
      <c r="BD3" s="356">
        <f>'Cash-flow BASE'!BD5</f>
        <v>0</v>
      </c>
      <c r="BE3" s="356">
        <f>'Cash-flow BASE'!BE5</f>
        <v>0</v>
      </c>
      <c r="BF3" s="356">
        <f>'Cash-flow BASE'!BF5</f>
        <v>0</v>
      </c>
      <c r="BG3" s="356">
        <f>'Cash-flow BASE'!BG5</f>
        <v>0</v>
      </c>
      <c r="BH3" s="356">
        <f>'Cash-flow BASE'!BH5</f>
        <v>0</v>
      </c>
      <c r="BI3" s="356">
        <f>'Cash-flow BASE'!BI5</f>
        <v>0</v>
      </c>
      <c r="BJ3" s="356">
        <f>'Cash-flow BASE'!BJ5</f>
        <v>0</v>
      </c>
      <c r="BK3" s="356">
        <f>'Cash-flow BASE'!BK5</f>
        <v>0</v>
      </c>
      <c r="BL3" s="356">
        <f>'Cash-flow BASE'!BL5</f>
        <v>0</v>
      </c>
      <c r="BM3" s="356">
        <f>'Cash-flow BASE'!BM5</f>
        <v>0</v>
      </c>
      <c r="BN3" s="356">
        <f>'Cash-flow BASE'!BN5</f>
        <v>0</v>
      </c>
      <c r="BO3" s="356">
        <f>'Cash-flow BASE'!BO5</f>
        <v>0</v>
      </c>
      <c r="BP3" s="356">
        <f>'Cash-flow BASE'!BP5</f>
        <v>0</v>
      </c>
      <c r="BQ3" s="356">
        <f>'Cash-flow BASE'!BQ5</f>
        <v>0</v>
      </c>
      <c r="BR3" s="356">
        <f>'Cash-flow BASE'!BR5</f>
        <v>0</v>
      </c>
      <c r="BS3" s="356">
        <f>'Cash-flow BASE'!BS5</f>
        <v>0</v>
      </c>
      <c r="BT3" s="356">
        <f>'Cash-flow BASE'!BT5</f>
        <v>0</v>
      </c>
      <c r="BU3" s="356">
        <f>'Cash-flow BASE'!BU5</f>
        <v>0</v>
      </c>
      <c r="BV3" s="356">
        <f>'Cash-flow BASE'!BV5</f>
        <v>0</v>
      </c>
      <c r="BW3" s="356">
        <f>'Cash-flow BASE'!BW5</f>
        <v>0</v>
      </c>
      <c r="BX3" s="356">
        <f>'Cash-flow BASE'!BX5</f>
        <v>0</v>
      </c>
      <c r="BY3" s="356"/>
      <c r="BZ3" s="357"/>
      <c r="CA3" s="357">
        <f>'Cash-flow BASE'!CC5</f>
        <v>0</v>
      </c>
      <c r="CB3" s="357"/>
      <c r="CC3" s="357"/>
      <c r="CD3" s="357">
        <f>'Cash-flow BASE'!CF5</f>
        <v>0</v>
      </c>
      <c r="CE3" s="357">
        <f>'Cash-flow BASE'!CG5</f>
        <v>0</v>
      </c>
      <c r="CF3" s="357">
        <f>'Cash-flow BASE'!CH5</f>
        <v>0</v>
      </c>
      <c r="CG3" s="357">
        <f>'Cash-flow BASE'!CI5</f>
        <v>0</v>
      </c>
      <c r="CH3" s="357">
        <f>'Cash-flow BASE'!CJ5</f>
        <v>0</v>
      </c>
      <c r="CI3" s="357">
        <f>'Cash-flow BASE'!CK5</f>
        <v>0</v>
      </c>
      <c r="CJ3" s="357">
        <f>'Cash-flow BASE'!CL5</f>
        <v>0</v>
      </c>
      <c r="CK3" s="358">
        <f t="shared" ref="CK3:CK7" si="0">SUM(E3:CJ3)</f>
        <v>26272824</v>
      </c>
      <c r="CL3" s="550">
        <f>SUM(CK3:CK7)</f>
        <v>78818472</v>
      </c>
    </row>
    <row r="4" spans="2:90">
      <c r="B4" s="574"/>
      <c r="C4" s="239" t="str">
        <f>'Cash-flow BASE'!C6</f>
        <v>Equity 1</v>
      </c>
      <c r="D4" s="236" t="s">
        <v>180</v>
      </c>
      <c r="E4" s="359">
        <f>'Cash-flow BASE'!E6</f>
        <v>0</v>
      </c>
      <c r="F4" s="360">
        <f>'Cash-flow BASE'!F6</f>
        <v>0</v>
      </c>
      <c r="G4" s="360">
        <f>'Cash-flow BASE'!G6</f>
        <v>0</v>
      </c>
      <c r="H4" s="360">
        <f>'Cash-flow BASE'!H6</f>
        <v>0</v>
      </c>
      <c r="I4" s="360">
        <f>'Cash-flow BASE'!I6</f>
        <v>0</v>
      </c>
      <c r="J4" s="360">
        <f>'Cash-flow BASE'!J6</f>
        <v>0</v>
      </c>
      <c r="K4" s="360">
        <f>'Cash-flow BASE'!K6</f>
        <v>0</v>
      </c>
      <c r="L4" s="360">
        <f>'Cash-flow BASE'!L6</f>
        <v>0</v>
      </c>
      <c r="M4" s="360">
        <f>'Cash-flow BASE'!M6</f>
        <v>0</v>
      </c>
      <c r="N4" s="360">
        <f>'Cash-flow BASE'!N6</f>
        <v>0</v>
      </c>
      <c r="O4" s="360">
        <f>'Cash-flow BASE'!O6</f>
        <v>2381000</v>
      </c>
      <c r="P4" s="360">
        <f>'Cash-flow BASE'!P6</f>
        <v>561824</v>
      </c>
      <c r="Q4" s="360">
        <f>'Cash-flow BASE'!Q6</f>
        <v>0</v>
      </c>
      <c r="R4" s="360">
        <f>'Cash-flow BASE'!R6</f>
        <v>0</v>
      </c>
      <c r="S4" s="360">
        <f>'Cash-flow BASE'!S6</f>
        <v>280000</v>
      </c>
      <c r="T4" s="360">
        <f>'Cash-flow BASE'!T6</f>
        <v>0</v>
      </c>
      <c r="U4" s="360">
        <f>'Cash-flow BASE'!U6</f>
        <v>11550000</v>
      </c>
      <c r="V4" s="360">
        <f>'Cash-flow BASE'!V6</f>
        <v>0</v>
      </c>
      <c r="W4" s="360">
        <f>'Cash-flow BASE'!W6</f>
        <v>0</v>
      </c>
      <c r="X4" s="360">
        <f>'Cash-flow BASE'!X6</f>
        <v>0</v>
      </c>
      <c r="Y4" s="360">
        <f>'Cash-flow BASE'!Y6</f>
        <v>500000</v>
      </c>
      <c r="Z4" s="360">
        <f>'Cash-flow BASE'!Z6</f>
        <v>3500000</v>
      </c>
      <c r="AA4" s="360">
        <f>'Cash-flow BASE'!AA6</f>
        <v>4000000</v>
      </c>
      <c r="AB4" s="360">
        <f>'Cash-flow BASE'!AB6</f>
        <v>3500000</v>
      </c>
      <c r="AC4" s="360">
        <f>'Cash-flow BASE'!AC6</f>
        <v>0</v>
      </c>
      <c r="AD4" s="360">
        <f>'Cash-flow BASE'!AD6</f>
        <v>0</v>
      </c>
      <c r="AE4" s="360">
        <f>'Cash-flow BASE'!AE6</f>
        <v>0</v>
      </c>
      <c r="AF4" s="360">
        <f>'Cash-flow BASE'!AF6</f>
        <v>0</v>
      </c>
      <c r="AG4" s="360">
        <f>'Cash-flow BASE'!AG6</f>
        <v>0</v>
      </c>
      <c r="AH4" s="360">
        <f>'Cash-flow BASE'!AH6</f>
        <v>0</v>
      </c>
      <c r="AI4" s="360">
        <f>'Cash-flow BASE'!AI6</f>
        <v>0</v>
      </c>
      <c r="AJ4" s="360">
        <f>'Cash-flow BASE'!AJ6</f>
        <v>0</v>
      </c>
      <c r="AK4" s="360">
        <f>'Cash-flow BASE'!AK6</f>
        <v>0</v>
      </c>
      <c r="AL4" s="360">
        <f>'Cash-flow BASE'!AL6</f>
        <v>0</v>
      </c>
      <c r="AM4" s="360">
        <f>'Cash-flow BASE'!AM6</f>
        <v>0</v>
      </c>
      <c r="AN4" s="360">
        <f>'Cash-flow BASE'!AN6</f>
        <v>0</v>
      </c>
      <c r="AO4" s="360">
        <f>'Cash-flow BASE'!AO6</f>
        <v>0</v>
      </c>
      <c r="AP4" s="360">
        <f>'Cash-flow BASE'!AP6</f>
        <v>0</v>
      </c>
      <c r="AQ4" s="360">
        <f>'Cash-flow BASE'!AQ6</f>
        <v>0</v>
      </c>
      <c r="AR4" s="360">
        <f>'Cash-flow BASE'!AR6</f>
        <v>0</v>
      </c>
      <c r="AS4" s="360">
        <f>'Cash-flow BASE'!AS6</f>
        <v>0</v>
      </c>
      <c r="AT4" s="360">
        <f>'Cash-flow BASE'!AT6</f>
        <v>0</v>
      </c>
      <c r="AU4" s="360">
        <f>'Cash-flow BASE'!AU6</f>
        <v>0</v>
      </c>
      <c r="AV4" s="360">
        <f>'Cash-flow BASE'!AV6</f>
        <v>0</v>
      </c>
      <c r="AW4" s="360">
        <f>'Cash-flow BASE'!AW6</f>
        <v>0</v>
      </c>
      <c r="AX4" s="360">
        <f>'Cash-flow BASE'!AX6</f>
        <v>0</v>
      </c>
      <c r="AY4" s="360">
        <f>'Cash-flow BASE'!AY6</f>
        <v>0</v>
      </c>
      <c r="AZ4" s="360">
        <f>'Cash-flow BASE'!AZ6</f>
        <v>0</v>
      </c>
      <c r="BA4" s="360">
        <f>'Cash-flow BASE'!BA6</f>
        <v>0</v>
      </c>
      <c r="BB4" s="360">
        <f>'Cash-flow BASE'!BB6</f>
        <v>0</v>
      </c>
      <c r="BC4" s="360">
        <f>'Cash-flow BASE'!BC6</f>
        <v>0</v>
      </c>
      <c r="BD4" s="360">
        <f>'Cash-flow BASE'!BD6</f>
        <v>0</v>
      </c>
      <c r="BE4" s="360">
        <f>'Cash-flow BASE'!BE6</f>
        <v>0</v>
      </c>
      <c r="BF4" s="360">
        <f>'Cash-flow BASE'!BF6</f>
        <v>0</v>
      </c>
      <c r="BG4" s="360">
        <f>'Cash-flow BASE'!BG6</f>
        <v>0</v>
      </c>
      <c r="BH4" s="360">
        <f>'Cash-flow BASE'!BH6</f>
        <v>0</v>
      </c>
      <c r="BI4" s="360">
        <f>'Cash-flow BASE'!BI6</f>
        <v>0</v>
      </c>
      <c r="BJ4" s="360">
        <f>'Cash-flow BASE'!BJ6</f>
        <v>0</v>
      </c>
      <c r="BK4" s="360">
        <f>'Cash-flow BASE'!BK6</f>
        <v>0</v>
      </c>
      <c r="BL4" s="360">
        <f>'Cash-flow BASE'!BL6</f>
        <v>0</v>
      </c>
      <c r="BM4" s="360">
        <f>'Cash-flow BASE'!BM6</f>
        <v>0</v>
      </c>
      <c r="BN4" s="360">
        <f>'Cash-flow BASE'!BN6</f>
        <v>0</v>
      </c>
      <c r="BO4" s="360">
        <f>'Cash-flow BASE'!BO6</f>
        <v>0</v>
      </c>
      <c r="BP4" s="360">
        <f>'Cash-flow BASE'!BP6</f>
        <v>0</v>
      </c>
      <c r="BQ4" s="360">
        <f>'Cash-flow BASE'!BQ6</f>
        <v>0</v>
      </c>
      <c r="BR4" s="360">
        <f>'Cash-flow BASE'!BR6</f>
        <v>0</v>
      </c>
      <c r="BS4" s="360">
        <f>'Cash-flow BASE'!BS6</f>
        <v>0</v>
      </c>
      <c r="BT4" s="360">
        <f>'Cash-flow BASE'!BT6</f>
        <v>0</v>
      </c>
      <c r="BU4" s="360">
        <f>'Cash-flow BASE'!BU6</f>
        <v>0</v>
      </c>
      <c r="BV4" s="360">
        <f>'Cash-flow BASE'!BV6</f>
        <v>0</v>
      </c>
      <c r="BW4" s="360">
        <f>'Cash-flow BASE'!BW6</f>
        <v>0</v>
      </c>
      <c r="BX4" s="360">
        <f>'Cash-flow BASE'!BX6</f>
        <v>0</v>
      </c>
      <c r="BY4" s="361"/>
      <c r="BZ4" s="362"/>
      <c r="CA4" s="362"/>
      <c r="CB4" s="362"/>
      <c r="CC4" s="362"/>
      <c r="CD4" s="362"/>
      <c r="CE4" s="362"/>
      <c r="CF4" s="362"/>
      <c r="CG4" s="362"/>
      <c r="CH4" s="362"/>
      <c r="CI4" s="362"/>
      <c r="CJ4" s="362"/>
      <c r="CK4" s="358">
        <f t="shared" si="0"/>
        <v>26272824</v>
      </c>
      <c r="CL4" s="575"/>
    </row>
    <row r="5" spans="2:90">
      <c r="B5" s="574"/>
      <c r="C5" s="363" t="s">
        <v>291</v>
      </c>
      <c r="D5" s="236" t="s">
        <v>180</v>
      </c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5">
        <f t="shared" ref="O5:AI5" si="1">O4*0.5</f>
        <v>1190500</v>
      </c>
      <c r="P5" s="365">
        <f t="shared" si="1"/>
        <v>280912</v>
      </c>
      <c r="Q5" s="365">
        <f t="shared" si="1"/>
        <v>0</v>
      </c>
      <c r="R5" s="365">
        <f t="shared" si="1"/>
        <v>0</v>
      </c>
      <c r="S5" s="365">
        <f t="shared" si="1"/>
        <v>140000</v>
      </c>
      <c r="T5" s="365">
        <f t="shared" si="1"/>
        <v>0</v>
      </c>
      <c r="U5" s="365">
        <f t="shared" si="1"/>
        <v>5775000</v>
      </c>
      <c r="V5" s="365">
        <f t="shared" si="1"/>
        <v>0</v>
      </c>
      <c r="W5" s="365">
        <f t="shared" si="1"/>
        <v>0</v>
      </c>
      <c r="X5" s="365">
        <f t="shared" si="1"/>
        <v>0</v>
      </c>
      <c r="Y5" s="365">
        <f t="shared" si="1"/>
        <v>250000</v>
      </c>
      <c r="Z5" s="365">
        <f t="shared" si="1"/>
        <v>1750000</v>
      </c>
      <c r="AA5" s="365">
        <f t="shared" si="1"/>
        <v>2000000</v>
      </c>
      <c r="AB5" s="365">
        <f t="shared" si="1"/>
        <v>1750000</v>
      </c>
      <c r="AC5" s="365">
        <f t="shared" si="1"/>
        <v>0</v>
      </c>
      <c r="AD5" s="365">
        <f t="shared" si="1"/>
        <v>0</v>
      </c>
      <c r="AE5" s="365">
        <f t="shared" si="1"/>
        <v>0</v>
      </c>
      <c r="AF5" s="365">
        <f t="shared" si="1"/>
        <v>0</v>
      </c>
      <c r="AG5" s="365">
        <f t="shared" si="1"/>
        <v>0</v>
      </c>
      <c r="AH5" s="365">
        <f t="shared" si="1"/>
        <v>0</v>
      </c>
      <c r="AI5" s="365">
        <f t="shared" si="1"/>
        <v>0</v>
      </c>
      <c r="AJ5" s="364"/>
      <c r="AK5" s="364"/>
      <c r="AL5" s="364"/>
      <c r="AM5" s="364"/>
      <c r="AN5" s="364"/>
      <c r="AO5" s="364"/>
      <c r="AP5" s="364"/>
      <c r="AQ5" s="364"/>
      <c r="AR5" s="364"/>
      <c r="AS5" s="364"/>
      <c r="AT5" s="364"/>
      <c r="AU5" s="364"/>
      <c r="AV5" s="364"/>
      <c r="AW5" s="364"/>
      <c r="AX5" s="364"/>
      <c r="AY5" s="364"/>
      <c r="AZ5" s="364"/>
      <c r="BA5" s="364"/>
      <c r="BB5" s="364"/>
      <c r="BC5" s="364"/>
      <c r="BD5" s="364"/>
      <c r="BE5" s="364"/>
      <c r="BF5" s="364"/>
      <c r="BG5" s="364"/>
      <c r="BH5" s="364"/>
      <c r="BI5" s="364"/>
      <c r="BJ5" s="364"/>
      <c r="BK5" s="364"/>
      <c r="BL5" s="364"/>
      <c r="BM5" s="364"/>
      <c r="BN5" s="364"/>
      <c r="BO5" s="364"/>
      <c r="BP5" s="364"/>
      <c r="BQ5" s="364"/>
      <c r="BR5" s="364"/>
      <c r="BS5" s="364"/>
      <c r="BT5" s="364"/>
      <c r="BU5" s="364"/>
      <c r="BV5" s="364"/>
      <c r="BW5" s="364"/>
      <c r="BX5" s="364"/>
      <c r="BY5" s="362"/>
      <c r="BZ5" s="362"/>
      <c r="CA5" s="362"/>
      <c r="CB5" s="362"/>
      <c r="CC5" s="362"/>
      <c r="CD5" s="362"/>
      <c r="CE5" s="362"/>
      <c r="CF5" s="362"/>
      <c r="CG5" s="362"/>
      <c r="CH5" s="362"/>
      <c r="CI5" s="362"/>
      <c r="CJ5" s="362"/>
      <c r="CK5" s="358">
        <f t="shared" si="0"/>
        <v>13136412</v>
      </c>
      <c r="CL5" s="575"/>
    </row>
    <row r="6" spans="2:90">
      <c r="B6" s="574"/>
      <c r="C6" s="363" t="s">
        <v>292</v>
      </c>
      <c r="D6" s="236" t="s">
        <v>180</v>
      </c>
      <c r="E6" s="364">
        <f>'Cash-flow BASE'!E7</f>
        <v>0</v>
      </c>
      <c r="F6" s="364">
        <f>'Cash-flow BASE'!F7</f>
        <v>0</v>
      </c>
      <c r="G6" s="364">
        <f>'Cash-flow BASE'!G7</f>
        <v>0</v>
      </c>
      <c r="H6" s="364">
        <f>'Cash-flow BASE'!H7</f>
        <v>0</v>
      </c>
      <c r="I6" s="364">
        <f>'Cash-flow BASE'!I7</f>
        <v>0</v>
      </c>
      <c r="J6" s="364">
        <f>'Cash-flow BASE'!J7</f>
        <v>0</v>
      </c>
      <c r="K6" s="364">
        <f>'Cash-flow BASE'!K7</f>
        <v>0</v>
      </c>
      <c r="L6" s="364">
        <f>'Cash-flow BASE'!L7</f>
        <v>0</v>
      </c>
      <c r="M6" s="364">
        <f>'Cash-flow BASE'!M7</f>
        <v>0</v>
      </c>
      <c r="N6" s="364">
        <f>'Cash-flow BASE'!N7</f>
        <v>0</v>
      </c>
      <c r="O6" s="365">
        <f t="shared" ref="O6:AI6" si="2">O4*0.25</f>
        <v>595250</v>
      </c>
      <c r="P6" s="365">
        <f t="shared" si="2"/>
        <v>140456</v>
      </c>
      <c r="Q6" s="365">
        <f t="shared" si="2"/>
        <v>0</v>
      </c>
      <c r="R6" s="365">
        <f t="shared" si="2"/>
        <v>0</v>
      </c>
      <c r="S6" s="365">
        <f t="shared" si="2"/>
        <v>70000</v>
      </c>
      <c r="T6" s="365">
        <f t="shared" si="2"/>
        <v>0</v>
      </c>
      <c r="U6" s="365">
        <f t="shared" si="2"/>
        <v>2887500</v>
      </c>
      <c r="V6" s="365">
        <f t="shared" si="2"/>
        <v>0</v>
      </c>
      <c r="W6" s="365">
        <f t="shared" si="2"/>
        <v>0</v>
      </c>
      <c r="X6" s="365">
        <f t="shared" si="2"/>
        <v>0</v>
      </c>
      <c r="Y6" s="365">
        <f t="shared" si="2"/>
        <v>125000</v>
      </c>
      <c r="Z6" s="365">
        <f t="shared" si="2"/>
        <v>875000</v>
      </c>
      <c r="AA6" s="365">
        <f t="shared" si="2"/>
        <v>1000000</v>
      </c>
      <c r="AB6" s="365">
        <f t="shared" si="2"/>
        <v>875000</v>
      </c>
      <c r="AC6" s="365">
        <f t="shared" si="2"/>
        <v>0</v>
      </c>
      <c r="AD6" s="365">
        <f t="shared" si="2"/>
        <v>0</v>
      </c>
      <c r="AE6" s="365">
        <f t="shared" si="2"/>
        <v>0</v>
      </c>
      <c r="AF6" s="365">
        <f t="shared" si="2"/>
        <v>0</v>
      </c>
      <c r="AG6" s="365">
        <f t="shared" si="2"/>
        <v>0</v>
      </c>
      <c r="AH6" s="365">
        <f t="shared" si="2"/>
        <v>0</v>
      </c>
      <c r="AI6" s="365">
        <f t="shared" si="2"/>
        <v>0</v>
      </c>
      <c r="AJ6" s="364">
        <f>'Cash-flow BASE'!AJ7</f>
        <v>0</v>
      </c>
      <c r="AK6" s="364">
        <f>'Cash-flow BASE'!AK7</f>
        <v>0</v>
      </c>
      <c r="AL6" s="364">
        <f>'Cash-flow BASE'!AL7</f>
        <v>0</v>
      </c>
      <c r="AM6" s="364">
        <f>'Cash-flow BASE'!AM7</f>
        <v>0</v>
      </c>
      <c r="AN6" s="364">
        <f>'Cash-flow BASE'!AN7</f>
        <v>0</v>
      </c>
      <c r="AO6" s="364">
        <f>'Cash-flow BASE'!AO7</f>
        <v>0</v>
      </c>
      <c r="AP6" s="364">
        <f>'Cash-flow BASE'!AP7</f>
        <v>0</v>
      </c>
      <c r="AQ6" s="364">
        <f>'Cash-flow BASE'!AQ7</f>
        <v>0</v>
      </c>
      <c r="AR6" s="364">
        <f>'Cash-flow BASE'!AR7</f>
        <v>0</v>
      </c>
      <c r="AS6" s="364">
        <f>'Cash-flow BASE'!AS7</f>
        <v>0</v>
      </c>
      <c r="AT6" s="364">
        <f>'Cash-flow BASE'!AT7</f>
        <v>0</v>
      </c>
      <c r="AU6" s="364">
        <f>'Cash-flow BASE'!AU7</f>
        <v>0</v>
      </c>
      <c r="AV6" s="364">
        <f>'Cash-flow BASE'!AV7</f>
        <v>0</v>
      </c>
      <c r="AW6" s="364">
        <f>'Cash-flow BASE'!AW7</f>
        <v>0</v>
      </c>
      <c r="AX6" s="364">
        <f>'Cash-flow BASE'!AX7</f>
        <v>0</v>
      </c>
      <c r="AY6" s="364">
        <f>'Cash-flow BASE'!AY7</f>
        <v>0</v>
      </c>
      <c r="AZ6" s="364">
        <f>'Cash-flow BASE'!AZ7</f>
        <v>0</v>
      </c>
      <c r="BA6" s="364">
        <f>'Cash-flow BASE'!BA7</f>
        <v>0</v>
      </c>
      <c r="BB6" s="364">
        <f>'Cash-flow BASE'!BB7</f>
        <v>0</v>
      </c>
      <c r="BC6" s="364">
        <f>'Cash-flow BASE'!BC7</f>
        <v>0</v>
      </c>
      <c r="BD6" s="364">
        <f>'Cash-flow BASE'!BD7</f>
        <v>0</v>
      </c>
      <c r="BE6" s="364">
        <f>'Cash-flow BASE'!BE7</f>
        <v>0</v>
      </c>
      <c r="BF6" s="364">
        <f>'Cash-flow BASE'!BF7</f>
        <v>0</v>
      </c>
      <c r="BG6" s="364">
        <f>'Cash-flow BASE'!BG7</f>
        <v>0</v>
      </c>
      <c r="BH6" s="364">
        <f>'Cash-flow BASE'!BH7</f>
        <v>0</v>
      </c>
      <c r="BI6" s="364">
        <f>'Cash-flow BASE'!BI7</f>
        <v>0</v>
      </c>
      <c r="BJ6" s="364">
        <f>'Cash-flow BASE'!BJ7</f>
        <v>0</v>
      </c>
      <c r="BK6" s="364">
        <f>'Cash-flow BASE'!BK7</f>
        <v>0</v>
      </c>
      <c r="BL6" s="364">
        <f>'Cash-flow BASE'!BL7</f>
        <v>0</v>
      </c>
      <c r="BM6" s="364">
        <f>'Cash-flow BASE'!BM7</f>
        <v>0</v>
      </c>
      <c r="BN6" s="364">
        <f>'Cash-flow BASE'!BN7</f>
        <v>0</v>
      </c>
      <c r="BO6" s="364">
        <f>'Cash-flow BASE'!BO7</f>
        <v>0</v>
      </c>
      <c r="BP6" s="364">
        <f>'Cash-flow BASE'!BP7</f>
        <v>0</v>
      </c>
      <c r="BQ6" s="364">
        <f>'Cash-flow BASE'!BQ7</f>
        <v>0</v>
      </c>
      <c r="BR6" s="364">
        <f>'Cash-flow BASE'!BR7</f>
        <v>0</v>
      </c>
      <c r="BS6" s="364">
        <f>'Cash-flow BASE'!BS7</f>
        <v>0</v>
      </c>
      <c r="BT6" s="364">
        <f>'Cash-flow BASE'!BT7</f>
        <v>0</v>
      </c>
      <c r="BU6" s="364">
        <f>'Cash-flow BASE'!BU7</f>
        <v>0</v>
      </c>
      <c r="BV6" s="364">
        <f>'Cash-flow BASE'!BV7</f>
        <v>0</v>
      </c>
      <c r="BW6" s="364">
        <f>'Cash-flow BASE'!BW7</f>
        <v>0</v>
      </c>
      <c r="BX6" s="364">
        <f>'Cash-flow BASE'!BX7</f>
        <v>0</v>
      </c>
      <c r="BY6" s="362"/>
      <c r="BZ6" s="362"/>
      <c r="CA6" s="362"/>
      <c r="CB6" s="362"/>
      <c r="CC6" s="362"/>
      <c r="CD6" s="362"/>
      <c r="CE6" s="362"/>
      <c r="CF6" s="362"/>
      <c r="CG6" s="362"/>
      <c r="CH6" s="362"/>
      <c r="CI6" s="362"/>
      <c r="CJ6" s="362"/>
      <c r="CK6" s="358">
        <f t="shared" si="0"/>
        <v>6568206</v>
      </c>
      <c r="CL6" s="575"/>
    </row>
    <row r="7" spans="2:90">
      <c r="B7" s="576"/>
      <c r="C7" s="366" t="s">
        <v>293</v>
      </c>
      <c r="D7" s="242" t="s">
        <v>180</v>
      </c>
      <c r="E7" s="243">
        <f>'Cash-flow BASE'!E8</f>
        <v>0</v>
      </c>
      <c r="F7" s="243"/>
      <c r="G7" s="243"/>
      <c r="H7" s="243"/>
      <c r="I7" s="243"/>
      <c r="J7" s="243"/>
      <c r="K7" s="243"/>
      <c r="L7" s="243"/>
      <c r="M7" s="243"/>
      <c r="N7" s="243"/>
      <c r="O7" s="367">
        <f t="shared" ref="O7:AI7" si="3">O4*0.25</f>
        <v>595250</v>
      </c>
      <c r="P7" s="367">
        <f t="shared" si="3"/>
        <v>140456</v>
      </c>
      <c r="Q7" s="367">
        <f t="shared" si="3"/>
        <v>0</v>
      </c>
      <c r="R7" s="367">
        <f t="shared" si="3"/>
        <v>0</v>
      </c>
      <c r="S7" s="367">
        <f t="shared" si="3"/>
        <v>70000</v>
      </c>
      <c r="T7" s="367">
        <f t="shared" si="3"/>
        <v>0</v>
      </c>
      <c r="U7" s="367">
        <f t="shared" si="3"/>
        <v>2887500</v>
      </c>
      <c r="V7" s="367">
        <f t="shared" si="3"/>
        <v>0</v>
      </c>
      <c r="W7" s="367">
        <f t="shared" si="3"/>
        <v>0</v>
      </c>
      <c r="X7" s="367">
        <f t="shared" si="3"/>
        <v>0</v>
      </c>
      <c r="Y7" s="367">
        <f t="shared" si="3"/>
        <v>125000</v>
      </c>
      <c r="Z7" s="367">
        <f t="shared" si="3"/>
        <v>875000</v>
      </c>
      <c r="AA7" s="367">
        <f t="shared" si="3"/>
        <v>1000000</v>
      </c>
      <c r="AB7" s="367">
        <f t="shared" si="3"/>
        <v>875000</v>
      </c>
      <c r="AC7" s="367">
        <f t="shared" si="3"/>
        <v>0</v>
      </c>
      <c r="AD7" s="367">
        <f t="shared" si="3"/>
        <v>0</v>
      </c>
      <c r="AE7" s="367">
        <f t="shared" si="3"/>
        <v>0</v>
      </c>
      <c r="AF7" s="367">
        <f t="shared" si="3"/>
        <v>0</v>
      </c>
      <c r="AG7" s="367">
        <f t="shared" si="3"/>
        <v>0</v>
      </c>
      <c r="AH7" s="367">
        <f t="shared" si="3"/>
        <v>0</v>
      </c>
      <c r="AI7" s="367">
        <f t="shared" si="3"/>
        <v>0</v>
      </c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  <c r="BI7" s="243"/>
      <c r="BJ7" s="243"/>
      <c r="BK7" s="243"/>
      <c r="BL7" s="243"/>
      <c r="BM7" s="243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3"/>
      <c r="BY7" s="243"/>
      <c r="BZ7" s="243"/>
      <c r="CA7" s="243"/>
      <c r="CB7" s="243"/>
      <c r="CC7" s="243"/>
      <c r="CD7" s="243"/>
      <c r="CE7" s="243"/>
      <c r="CF7" s="243"/>
      <c r="CG7" s="243"/>
      <c r="CH7" s="243"/>
      <c r="CI7" s="243"/>
      <c r="CJ7" s="241"/>
      <c r="CK7" s="358">
        <f t="shared" si="0"/>
        <v>6568206</v>
      </c>
      <c r="CL7" s="577"/>
    </row>
    <row r="8" spans="2:90" ht="18" customHeight="1">
      <c r="B8" s="552" t="s">
        <v>184</v>
      </c>
      <c r="C8" s="239" t="s">
        <v>294</v>
      </c>
      <c r="D8" s="236" t="s">
        <v>180</v>
      </c>
      <c r="E8" s="368"/>
      <c r="F8" s="368"/>
      <c r="G8" s="368"/>
      <c r="H8" s="368"/>
      <c r="I8" s="368"/>
      <c r="J8" s="368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7"/>
      <c r="Y8" s="237"/>
      <c r="Z8" s="237"/>
      <c r="AA8" s="237"/>
      <c r="AB8" s="237"/>
      <c r="AC8" s="23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  <c r="AZ8" s="237"/>
      <c r="BA8" s="237"/>
      <c r="BB8" s="237"/>
      <c r="BC8" s="237"/>
      <c r="BD8" s="237"/>
      <c r="BE8" s="237"/>
      <c r="BF8" s="237"/>
      <c r="BG8" s="237"/>
      <c r="BH8" s="237"/>
      <c r="BI8" s="237"/>
      <c r="BJ8" s="237"/>
      <c r="BK8" s="237"/>
      <c r="BL8" s="237"/>
      <c r="BM8" s="237"/>
      <c r="BN8" s="237"/>
      <c r="BO8" s="237"/>
      <c r="BP8" s="237"/>
      <c r="BQ8" s="237"/>
      <c r="BR8" s="237"/>
      <c r="BS8" s="237"/>
      <c r="BT8" s="237"/>
      <c r="BU8" s="237"/>
      <c r="BV8" s="237"/>
      <c r="BW8" s="237"/>
      <c r="BX8" s="237"/>
      <c r="BY8" s="237"/>
      <c r="BZ8" s="237"/>
      <c r="CA8" s="237"/>
      <c r="CB8" s="237"/>
      <c r="CC8" s="237"/>
      <c r="CD8" s="237"/>
      <c r="CE8" s="237"/>
      <c r="CF8" s="237"/>
      <c r="CG8" s="237"/>
      <c r="CH8" s="237"/>
      <c r="CI8" s="237"/>
      <c r="CJ8" s="239"/>
      <c r="CK8" s="369">
        <f t="shared" ref="CK8:CK11" si="4">SUM(AC8:CJ8)</f>
        <v>0</v>
      </c>
      <c r="CL8" s="370">
        <f t="shared" ref="CL8:CL11" si="5">CK8+CK9</f>
        <v>0</v>
      </c>
    </row>
    <row r="9" spans="2:90" ht="18" customHeight="1">
      <c r="B9" s="574"/>
      <c r="C9" s="239" t="s">
        <v>295</v>
      </c>
      <c r="D9" s="236" t="s">
        <v>180</v>
      </c>
      <c r="E9" s="368"/>
      <c r="F9" s="368"/>
      <c r="G9" s="368"/>
      <c r="H9" s="368"/>
      <c r="I9" s="368"/>
      <c r="J9" s="368"/>
      <c r="K9" s="368"/>
      <c r="L9" s="368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7"/>
      <c r="BY9" s="237"/>
      <c r="BZ9" s="237"/>
      <c r="CA9" s="237"/>
      <c r="CB9" s="237"/>
      <c r="CC9" s="237"/>
      <c r="CD9" s="237"/>
      <c r="CE9" s="237"/>
      <c r="CF9" s="237"/>
      <c r="CG9" s="237"/>
      <c r="CH9" s="237"/>
      <c r="CI9" s="237"/>
      <c r="CJ9" s="239"/>
      <c r="CK9" s="369">
        <f t="shared" si="4"/>
        <v>0</v>
      </c>
      <c r="CL9" s="370">
        <f t="shared" si="5"/>
        <v>0</v>
      </c>
    </row>
    <row r="10" spans="2:90" ht="18" customHeight="1">
      <c r="B10" s="574"/>
      <c r="C10" s="239" t="s">
        <v>296</v>
      </c>
      <c r="D10" s="236" t="s">
        <v>180</v>
      </c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23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7"/>
      <c r="BY10" s="237"/>
      <c r="BZ10" s="237"/>
      <c r="CA10" s="237"/>
      <c r="CB10" s="237"/>
      <c r="CC10" s="237"/>
      <c r="CD10" s="237"/>
      <c r="CE10" s="237"/>
      <c r="CF10" s="237"/>
      <c r="CG10" s="237"/>
      <c r="CH10" s="237"/>
      <c r="CI10" s="237"/>
      <c r="CJ10" s="239"/>
      <c r="CK10" s="369">
        <f t="shared" si="4"/>
        <v>0</v>
      </c>
      <c r="CL10" s="370">
        <f t="shared" si="5"/>
        <v>0</v>
      </c>
    </row>
    <row r="11" spans="2:90" ht="18" customHeight="1">
      <c r="B11" s="578"/>
      <c r="C11" s="371" t="s">
        <v>297</v>
      </c>
      <c r="D11" s="372" t="s">
        <v>180</v>
      </c>
      <c r="E11" s="373"/>
      <c r="F11" s="373"/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  <c r="S11" s="373"/>
      <c r="T11" s="373"/>
      <c r="U11" s="373"/>
      <c r="V11" s="373"/>
      <c r="W11" s="373"/>
      <c r="X11" s="373"/>
      <c r="Y11" s="373"/>
      <c r="Z11" s="373"/>
      <c r="AA11" s="373"/>
      <c r="AB11" s="373"/>
      <c r="AC11" s="374"/>
      <c r="AD11" s="374"/>
      <c r="AE11" s="374"/>
      <c r="AF11" s="374"/>
      <c r="AG11" s="374"/>
      <c r="AH11" s="374"/>
      <c r="AI11" s="374"/>
      <c r="AJ11" s="374"/>
      <c r="AK11" s="374"/>
      <c r="AL11" s="374"/>
      <c r="AM11" s="374"/>
      <c r="AN11" s="374"/>
      <c r="AO11" s="374"/>
      <c r="AP11" s="374"/>
      <c r="AQ11" s="374"/>
      <c r="AR11" s="374"/>
      <c r="AS11" s="374"/>
      <c r="AT11" s="374"/>
      <c r="AU11" s="374"/>
      <c r="AV11" s="374"/>
      <c r="AW11" s="374"/>
      <c r="AX11" s="374"/>
      <c r="AY11" s="374"/>
      <c r="AZ11" s="374"/>
      <c r="BA11" s="374"/>
      <c r="BB11" s="374"/>
      <c r="BC11" s="374"/>
      <c r="BD11" s="374"/>
      <c r="BE11" s="374"/>
      <c r="BF11" s="374"/>
      <c r="BG11" s="374"/>
      <c r="BH11" s="374"/>
      <c r="BI11" s="374"/>
      <c r="BJ11" s="374"/>
      <c r="BK11" s="374"/>
      <c r="BL11" s="374"/>
      <c r="BM11" s="374"/>
      <c r="BN11" s="374"/>
      <c r="BO11" s="374"/>
      <c r="BP11" s="374"/>
      <c r="BQ11" s="374"/>
      <c r="BR11" s="374"/>
      <c r="BS11" s="374"/>
      <c r="BT11" s="374"/>
      <c r="BU11" s="374"/>
      <c r="BV11" s="374"/>
      <c r="BW11" s="374"/>
      <c r="BX11" s="374"/>
      <c r="BY11" s="374"/>
      <c r="BZ11" s="374"/>
      <c r="CA11" s="374"/>
      <c r="CB11" s="374"/>
      <c r="CC11" s="374"/>
      <c r="CD11" s="374"/>
      <c r="CE11" s="374"/>
      <c r="CF11" s="374"/>
      <c r="CG11" s="374"/>
      <c r="CH11" s="374"/>
      <c r="CI11" s="374"/>
      <c r="CJ11" s="371"/>
      <c r="CK11" s="375">
        <f t="shared" si="4"/>
        <v>0</v>
      </c>
      <c r="CL11" s="376">
        <f t="shared" si="5"/>
        <v>0</v>
      </c>
    </row>
    <row r="14" spans="2:90">
      <c r="B14" s="377"/>
      <c r="C14" s="378" t="s">
        <v>233</v>
      </c>
      <c r="D14" s="379">
        <v>0.105</v>
      </c>
      <c r="E14" s="380">
        <f>'Cash-flow BASE'!E55</f>
        <v>0</v>
      </c>
      <c r="F14" s="380">
        <f>'Cash-flow BASE'!F55</f>
        <v>0</v>
      </c>
      <c r="G14" s="380">
        <f>'Cash-flow BASE'!G55</f>
        <v>0</v>
      </c>
      <c r="H14" s="380">
        <f>'Cash-flow BASE'!H55</f>
        <v>0</v>
      </c>
      <c r="I14" s="380">
        <f>'Cash-flow BASE'!I55</f>
        <v>0</v>
      </c>
      <c r="J14" s="380">
        <f>'Cash-flow BASE'!J55</f>
        <v>0</v>
      </c>
      <c r="K14" s="380">
        <f>'Cash-flow BASE'!K55</f>
        <v>0</v>
      </c>
      <c r="L14" s="380">
        <f>'Cash-flow BASE'!L55</f>
        <v>0</v>
      </c>
      <c r="M14" s="380">
        <f>'Cash-flow BASE'!M55</f>
        <v>0</v>
      </c>
      <c r="N14" s="380">
        <f>'Cash-flow BASE'!N55</f>
        <v>0</v>
      </c>
      <c r="O14" s="380">
        <f>'Cash-flow BASE'!O55</f>
        <v>0</v>
      </c>
      <c r="P14" s="380">
        <f>'Cash-flow BASE'!P55</f>
        <v>0</v>
      </c>
      <c r="Q14" s="380">
        <f>'Cash-flow BASE'!Q55</f>
        <v>0</v>
      </c>
      <c r="R14" s="380">
        <f>'Cash-flow BASE'!R55</f>
        <v>0</v>
      </c>
      <c r="S14" s="380">
        <f>'Cash-flow BASE'!S55</f>
        <v>0</v>
      </c>
      <c r="T14" s="380">
        <f>'Cash-flow BASE'!T55</f>
        <v>0</v>
      </c>
      <c r="U14" s="380">
        <f>'Cash-flow BASE'!U55</f>
        <v>0</v>
      </c>
      <c r="V14" s="380">
        <f>'Cash-flow BASE'!V55</f>
        <v>0</v>
      </c>
      <c r="W14" s="380">
        <f>'Cash-flow BASE'!W55</f>
        <v>0</v>
      </c>
      <c r="X14" s="380">
        <f>'Cash-flow BASE'!X55</f>
        <v>0</v>
      </c>
      <c r="Y14" s="380">
        <f>'Cash-flow BASE'!Y55</f>
        <v>0</v>
      </c>
      <c r="Z14" s="380">
        <f>'Cash-flow BASE'!Z55</f>
        <v>0</v>
      </c>
      <c r="AA14" s="380">
        <f>'Cash-flow BASE'!AA55</f>
        <v>0</v>
      </c>
      <c r="AB14" s="380">
        <f>'Cash-flow BASE'!AB55</f>
        <v>0</v>
      </c>
      <c r="AC14" s="380">
        <f>'Cash-flow BASE'!AC55</f>
        <v>0</v>
      </c>
      <c r="AD14" s="380">
        <f>'Cash-flow BASE'!AD55</f>
        <v>0</v>
      </c>
      <c r="AE14" s="380">
        <f>'Cash-flow BASE'!AE55</f>
        <v>0</v>
      </c>
      <c r="AF14" s="380">
        <f>'Cash-flow BASE'!AF55</f>
        <v>0</v>
      </c>
      <c r="AG14" s="380">
        <f>'Cash-flow BASE'!AG55</f>
        <v>0</v>
      </c>
      <c r="AH14" s="380">
        <f>'Cash-flow BASE'!AH55</f>
        <v>0</v>
      </c>
      <c r="AI14" s="380">
        <f>'Cash-flow BASE'!AI55</f>
        <v>-1760813.5233333337</v>
      </c>
      <c r="AJ14" s="380">
        <f>'Cash-flow BASE'!AJ55</f>
        <v>0</v>
      </c>
      <c r="AK14" s="380">
        <f>'Cash-flow BASE'!AK55</f>
        <v>0</v>
      </c>
      <c r="AL14" s="380">
        <f>'Cash-flow BASE'!AL55</f>
        <v>0</v>
      </c>
      <c r="AM14" s="380">
        <f>'Cash-flow BASE'!AM55</f>
        <v>0</v>
      </c>
      <c r="AN14" s="380">
        <f>'Cash-flow BASE'!AN55</f>
        <v>0</v>
      </c>
      <c r="AO14" s="380">
        <f>'Cash-flow BASE'!AO55</f>
        <v>0</v>
      </c>
      <c r="AP14" s="380">
        <f>'Cash-flow BASE'!AP55</f>
        <v>0</v>
      </c>
      <c r="AQ14" s="380">
        <f>'Cash-flow BASE'!AQ55</f>
        <v>0</v>
      </c>
      <c r="AR14" s="380">
        <f>'Cash-flow BASE'!AR55</f>
        <v>0</v>
      </c>
      <c r="AS14" s="380">
        <f>'Cash-flow BASE'!AS55</f>
        <v>0</v>
      </c>
      <c r="AT14" s="380">
        <f>'Cash-flow BASE'!AT55</f>
        <v>0</v>
      </c>
      <c r="AU14" s="380">
        <f>'Cash-flow BASE'!AU55</f>
        <v>0</v>
      </c>
      <c r="AV14" s="380">
        <f>'Cash-flow BASE'!AV55</f>
        <v>0</v>
      </c>
      <c r="AW14" s="380">
        <f>'Cash-flow BASE'!AW55</f>
        <v>0</v>
      </c>
      <c r="AX14" s="380">
        <f>'Cash-flow BASE'!AX55</f>
        <v>0</v>
      </c>
      <c r="AY14" s="380">
        <f>'Cash-flow BASE'!AY55</f>
        <v>0</v>
      </c>
      <c r="AZ14" s="380">
        <f>'Cash-flow BASE'!AZ55</f>
        <v>0</v>
      </c>
      <c r="BA14" s="380">
        <f>'Cash-flow BASE'!BA55</f>
        <v>0</v>
      </c>
      <c r="BB14" s="380">
        <f>'Cash-flow BASE'!BB55</f>
        <v>0</v>
      </c>
      <c r="BC14" s="380">
        <f>'Cash-flow BASE'!BC55</f>
        <v>0</v>
      </c>
      <c r="BD14" s="380">
        <f>'Cash-flow BASE'!BD55</f>
        <v>0</v>
      </c>
      <c r="BE14" s="380">
        <f>'Cash-flow BASE'!BE55</f>
        <v>0</v>
      </c>
      <c r="BF14" s="380">
        <f>'Cash-flow BASE'!BF55</f>
        <v>0</v>
      </c>
      <c r="BG14" s="380">
        <f>'Cash-flow BASE'!BG55</f>
        <v>0</v>
      </c>
      <c r="BH14" s="380">
        <f>'Cash-flow BASE'!BH55</f>
        <v>0</v>
      </c>
      <c r="BI14" s="380">
        <f>'Cash-flow BASE'!BI55</f>
        <v>0</v>
      </c>
      <c r="BJ14" s="380">
        <f>'Cash-flow BASE'!BJ55</f>
        <v>0</v>
      </c>
      <c r="BK14" s="380">
        <f>'Cash-flow BASE'!BK55</f>
        <v>0</v>
      </c>
      <c r="BL14" s="380">
        <f>'Cash-flow BASE'!BL55</f>
        <v>0</v>
      </c>
      <c r="BM14" s="380">
        <f>'Cash-flow BASE'!BM55</f>
        <v>0</v>
      </c>
      <c r="BN14" s="380">
        <f>'Cash-flow BASE'!BN55</f>
        <v>0</v>
      </c>
      <c r="BO14" s="380">
        <f>'Cash-flow BASE'!BO55</f>
        <v>0</v>
      </c>
      <c r="BP14" s="380">
        <f>'Cash-flow BASE'!BP55</f>
        <v>0</v>
      </c>
      <c r="BQ14" s="380">
        <f>'Cash-flow BASE'!BQ55</f>
        <v>0</v>
      </c>
      <c r="BR14" s="380">
        <f>'Cash-flow BASE'!BR55</f>
        <v>0</v>
      </c>
      <c r="BS14" s="380">
        <f>'Cash-flow BASE'!BS55</f>
        <v>0</v>
      </c>
      <c r="BT14" s="380">
        <f>'Cash-flow BASE'!BT55</f>
        <v>0</v>
      </c>
      <c r="BU14" s="380">
        <f>'Cash-flow BASE'!BU55</f>
        <v>0</v>
      </c>
      <c r="BV14" s="380">
        <f>'Cash-flow BASE'!BV55</f>
        <v>0</v>
      </c>
      <c r="BW14" s="380">
        <f>'Cash-flow BASE'!BW55</f>
        <v>0</v>
      </c>
      <c r="BX14" s="381">
        <f>'Cash-flow BASE'!BX55</f>
        <v>0</v>
      </c>
      <c r="BY14" s="382"/>
      <c r="BZ14" s="382"/>
      <c r="CA14" s="382"/>
      <c r="CB14" s="382"/>
      <c r="CC14" s="382"/>
      <c r="CD14" s="382"/>
      <c r="CE14" s="382"/>
      <c r="CF14" s="382"/>
      <c r="CG14" s="382"/>
      <c r="CH14" s="382"/>
      <c r="CI14" s="382"/>
      <c r="CJ14" s="383"/>
      <c r="CK14" s="384">
        <f>SUM(E14:CJ14)</f>
        <v>-1760813.5233333337</v>
      </c>
      <c r="CL14" s="551">
        <f>SUM(CK14:CK21)</f>
        <v>-1760813.5233333337</v>
      </c>
    </row>
    <row r="15" spans="2:90">
      <c r="B15" s="385"/>
      <c r="C15" s="257" t="s">
        <v>234</v>
      </c>
      <c r="D15" s="274">
        <v>0.105</v>
      </c>
      <c r="E15" s="386"/>
      <c r="F15" s="386"/>
      <c r="G15" s="386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6"/>
      <c r="AC15" s="387"/>
      <c r="AD15" s="387"/>
      <c r="AE15" s="387"/>
      <c r="AF15" s="387"/>
      <c r="AG15" s="387"/>
      <c r="AH15" s="387"/>
      <c r="AI15" s="387"/>
      <c r="AJ15" s="387"/>
      <c r="AK15" s="387"/>
      <c r="AL15" s="387"/>
      <c r="AM15" s="387"/>
      <c r="AN15" s="387"/>
      <c r="AO15" s="387"/>
      <c r="AP15" s="387"/>
      <c r="AQ15" s="387"/>
      <c r="AR15" s="387"/>
      <c r="AS15" s="387"/>
      <c r="AT15" s="387"/>
      <c r="AU15" s="387"/>
      <c r="AV15" s="387"/>
      <c r="AW15" s="387"/>
      <c r="AX15" s="387"/>
      <c r="AY15" s="387"/>
      <c r="AZ15" s="387"/>
      <c r="BA15" s="387"/>
      <c r="BB15" s="387"/>
      <c r="BC15" s="387"/>
      <c r="BD15" s="387"/>
      <c r="BE15" s="387"/>
      <c r="BF15" s="387"/>
      <c r="BG15" s="387"/>
      <c r="BH15" s="387"/>
      <c r="BI15" s="387"/>
      <c r="BJ15" s="387"/>
      <c r="BK15" s="387"/>
      <c r="BL15" s="387"/>
      <c r="BM15" s="387"/>
      <c r="BN15" s="387"/>
      <c r="BO15" s="387"/>
      <c r="BP15" s="387"/>
      <c r="BQ15" s="387"/>
      <c r="BR15" s="387"/>
      <c r="BS15" s="387"/>
      <c r="BT15" s="387"/>
      <c r="BU15" s="387"/>
      <c r="BV15" s="387"/>
      <c r="BW15" s="387"/>
      <c r="BX15" s="387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257"/>
      <c r="CK15" s="389"/>
      <c r="CL15" s="575"/>
    </row>
    <row r="16" spans="2:90">
      <c r="B16" s="385"/>
      <c r="C16" s="257" t="s">
        <v>235</v>
      </c>
      <c r="D16" s="274">
        <v>0.105</v>
      </c>
      <c r="E16" s="386"/>
      <c r="F16" s="386"/>
      <c r="G16" s="386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6"/>
      <c r="AC16" s="387"/>
      <c r="AD16" s="387"/>
      <c r="AE16" s="387"/>
      <c r="AF16" s="387"/>
      <c r="AG16" s="387"/>
      <c r="AH16" s="387"/>
      <c r="AI16" s="387"/>
      <c r="AJ16" s="387"/>
      <c r="AK16" s="387"/>
      <c r="AL16" s="387"/>
      <c r="AM16" s="387"/>
      <c r="AN16" s="387"/>
      <c r="AO16" s="387"/>
      <c r="AP16" s="387"/>
      <c r="AQ16" s="387"/>
      <c r="AR16" s="387"/>
      <c r="AS16" s="387"/>
      <c r="AT16" s="387"/>
      <c r="AU16" s="387"/>
      <c r="AV16" s="387"/>
      <c r="AW16" s="387"/>
      <c r="AX16" s="387"/>
      <c r="AY16" s="387"/>
      <c r="AZ16" s="387"/>
      <c r="BA16" s="387"/>
      <c r="BB16" s="387"/>
      <c r="BC16" s="387"/>
      <c r="BD16" s="387"/>
      <c r="BE16" s="387"/>
      <c r="BF16" s="387"/>
      <c r="BG16" s="387"/>
      <c r="BH16" s="387"/>
      <c r="BI16" s="387"/>
      <c r="BJ16" s="387"/>
      <c r="BK16" s="387"/>
      <c r="BL16" s="387"/>
      <c r="BM16" s="387"/>
      <c r="BN16" s="387"/>
      <c r="BO16" s="387"/>
      <c r="BP16" s="387"/>
      <c r="BQ16" s="387"/>
      <c r="BR16" s="387"/>
      <c r="BS16" s="387"/>
      <c r="BT16" s="387"/>
      <c r="BU16" s="387"/>
      <c r="BV16" s="387"/>
      <c r="BW16" s="387"/>
      <c r="BX16" s="387"/>
      <c r="BY16" s="388"/>
      <c r="BZ16" s="388"/>
      <c r="CA16" s="388"/>
      <c r="CB16" s="388"/>
      <c r="CC16" s="388"/>
      <c r="CD16" s="388"/>
      <c r="CE16" s="388"/>
      <c r="CF16" s="388"/>
      <c r="CG16" s="388"/>
      <c r="CH16" s="388"/>
      <c r="CI16" s="388"/>
      <c r="CJ16" s="257"/>
      <c r="CK16" s="389"/>
      <c r="CL16" s="575"/>
    </row>
    <row r="17" spans="3:90">
      <c r="C17" s="257" t="s">
        <v>236</v>
      </c>
      <c r="D17" s="274">
        <v>0.105</v>
      </c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Z17" s="386"/>
      <c r="AA17" s="386"/>
      <c r="AB17" s="386"/>
      <c r="AC17" s="388"/>
      <c r="AD17" s="388"/>
      <c r="AE17" s="388"/>
      <c r="AF17" s="388"/>
      <c r="AG17" s="388"/>
      <c r="AH17" s="388"/>
      <c r="AI17" s="388"/>
      <c r="AJ17" s="388"/>
      <c r="AK17" s="388"/>
      <c r="AL17" s="388"/>
      <c r="AM17" s="388"/>
      <c r="AN17" s="388"/>
      <c r="AO17" s="388"/>
      <c r="AP17" s="388"/>
      <c r="AQ17" s="388"/>
      <c r="AR17" s="388"/>
      <c r="AS17" s="388"/>
      <c r="AT17" s="388"/>
      <c r="AU17" s="388"/>
      <c r="AV17" s="388"/>
      <c r="AW17" s="388"/>
      <c r="AX17" s="388"/>
      <c r="AY17" s="388"/>
      <c r="AZ17" s="388"/>
      <c r="BA17" s="388"/>
      <c r="BB17" s="388"/>
      <c r="BC17" s="388"/>
      <c r="BD17" s="388"/>
      <c r="BE17" s="388"/>
      <c r="BF17" s="388"/>
      <c r="BG17" s="388"/>
      <c r="BH17" s="388"/>
      <c r="BI17" s="388"/>
      <c r="BJ17" s="388"/>
      <c r="BK17" s="388"/>
      <c r="BL17" s="388"/>
      <c r="BM17" s="388"/>
      <c r="BN17" s="388"/>
      <c r="BO17" s="388"/>
      <c r="BP17" s="388"/>
      <c r="BQ17" s="388"/>
      <c r="BR17" s="388"/>
      <c r="BS17" s="388"/>
      <c r="BT17" s="388"/>
      <c r="BU17" s="388"/>
      <c r="BV17" s="388"/>
      <c r="BW17" s="388"/>
      <c r="BX17" s="388"/>
      <c r="BY17" s="388"/>
      <c r="BZ17" s="388"/>
      <c r="CA17" s="388"/>
      <c r="CB17" s="388"/>
      <c r="CC17" s="388"/>
      <c r="CD17" s="388"/>
      <c r="CE17" s="388"/>
      <c r="CF17" s="388"/>
      <c r="CG17" s="388"/>
      <c r="CH17" s="388"/>
      <c r="CI17" s="388"/>
      <c r="CJ17" s="257"/>
      <c r="CK17" s="389">
        <f t="shared" ref="CK17:CK21" si="6">SUM(AC17:CJ17)</f>
        <v>0</v>
      </c>
      <c r="CL17" s="575"/>
    </row>
    <row r="18" spans="3:90">
      <c r="C18" s="257" t="s">
        <v>298</v>
      </c>
      <c r="D18" s="274">
        <v>0.12</v>
      </c>
      <c r="E18" s="386"/>
      <c r="F18" s="386"/>
      <c r="G18" s="386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86"/>
      <c r="S18" s="386"/>
      <c r="T18" s="386"/>
      <c r="U18" s="386"/>
      <c r="V18" s="386"/>
      <c r="W18" s="386"/>
      <c r="X18" s="386"/>
      <c r="Y18" s="386"/>
      <c r="Z18" s="386"/>
      <c r="AA18" s="386"/>
      <c r="AB18" s="386"/>
      <c r="AC18" s="388"/>
      <c r="AD18" s="388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388"/>
      <c r="AW18" s="388"/>
      <c r="AX18" s="388"/>
      <c r="AY18" s="388"/>
      <c r="AZ18" s="388"/>
      <c r="BA18" s="388"/>
      <c r="BB18" s="388"/>
      <c r="BC18" s="388"/>
      <c r="BD18" s="388"/>
      <c r="BE18" s="388"/>
      <c r="BF18" s="388"/>
      <c r="BG18" s="388"/>
      <c r="BH18" s="388"/>
      <c r="BI18" s="388"/>
      <c r="BJ18" s="388"/>
      <c r="BK18" s="388"/>
      <c r="BL18" s="388"/>
      <c r="BM18" s="388"/>
      <c r="BN18" s="388"/>
      <c r="BO18" s="388"/>
      <c r="BP18" s="388"/>
      <c r="BQ18" s="388"/>
      <c r="BR18" s="388"/>
      <c r="BS18" s="388"/>
      <c r="BT18" s="388"/>
      <c r="BU18" s="388"/>
      <c r="BV18" s="388"/>
      <c r="BW18" s="388"/>
      <c r="BX18" s="388"/>
      <c r="BY18" s="388"/>
      <c r="BZ18" s="388"/>
      <c r="CA18" s="388"/>
      <c r="CB18" s="388"/>
      <c r="CC18" s="388"/>
      <c r="CD18" s="388"/>
      <c r="CE18" s="388"/>
      <c r="CF18" s="388"/>
      <c r="CG18" s="388"/>
      <c r="CH18" s="388"/>
      <c r="CI18" s="388"/>
      <c r="CJ18" s="257"/>
      <c r="CK18" s="389">
        <f t="shared" si="6"/>
        <v>0</v>
      </c>
      <c r="CL18" s="575"/>
    </row>
    <row r="19" spans="3:90">
      <c r="C19" s="257" t="s">
        <v>299</v>
      </c>
      <c r="D19" s="274">
        <v>0.12</v>
      </c>
      <c r="E19" s="386"/>
      <c r="F19" s="386"/>
      <c r="G19" s="386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86"/>
      <c r="S19" s="386"/>
      <c r="T19" s="386"/>
      <c r="U19" s="386"/>
      <c r="V19" s="386"/>
      <c r="W19" s="386"/>
      <c r="X19" s="386"/>
      <c r="Y19" s="386"/>
      <c r="Z19" s="386"/>
      <c r="AA19" s="386"/>
      <c r="AB19" s="386"/>
      <c r="AC19" s="388"/>
      <c r="AD19" s="388"/>
      <c r="AE19" s="388"/>
      <c r="AF19" s="388"/>
      <c r="AG19" s="388"/>
      <c r="AH19" s="388"/>
      <c r="AI19" s="388"/>
      <c r="AJ19" s="388"/>
      <c r="AK19" s="388"/>
      <c r="AL19" s="388"/>
      <c r="AM19" s="388"/>
      <c r="AN19" s="388"/>
      <c r="AO19" s="388"/>
      <c r="AP19" s="388"/>
      <c r="AQ19" s="388"/>
      <c r="AR19" s="388"/>
      <c r="AS19" s="388"/>
      <c r="AT19" s="388"/>
      <c r="AU19" s="388"/>
      <c r="AV19" s="388"/>
      <c r="AW19" s="388"/>
      <c r="AX19" s="388"/>
      <c r="AY19" s="388"/>
      <c r="AZ19" s="388"/>
      <c r="BA19" s="388"/>
      <c r="BB19" s="388"/>
      <c r="BC19" s="388"/>
      <c r="BD19" s="388"/>
      <c r="BE19" s="388"/>
      <c r="BF19" s="388"/>
      <c r="BG19" s="388"/>
      <c r="BH19" s="388"/>
      <c r="BI19" s="388"/>
      <c r="BJ19" s="388"/>
      <c r="BK19" s="388"/>
      <c r="BL19" s="388"/>
      <c r="BM19" s="388"/>
      <c r="BN19" s="388"/>
      <c r="BO19" s="388"/>
      <c r="BP19" s="388"/>
      <c r="BQ19" s="388"/>
      <c r="BR19" s="388"/>
      <c r="BS19" s="388"/>
      <c r="BT19" s="388"/>
      <c r="BU19" s="388"/>
      <c r="BV19" s="388"/>
      <c r="BW19" s="388"/>
      <c r="BX19" s="388"/>
      <c r="BY19" s="388"/>
      <c r="BZ19" s="388"/>
      <c r="CA19" s="388"/>
      <c r="CB19" s="388"/>
      <c r="CC19" s="388"/>
      <c r="CD19" s="388"/>
      <c r="CE19" s="388"/>
      <c r="CF19" s="388"/>
      <c r="CG19" s="388"/>
      <c r="CH19" s="388"/>
      <c r="CI19" s="388"/>
      <c r="CJ19" s="257"/>
      <c r="CK19" s="389">
        <f t="shared" si="6"/>
        <v>0</v>
      </c>
      <c r="CL19" s="575"/>
    </row>
    <row r="20" spans="3:90">
      <c r="C20" s="257" t="s">
        <v>300</v>
      </c>
      <c r="D20" s="274">
        <v>0.12</v>
      </c>
      <c r="E20" s="386"/>
      <c r="F20" s="386"/>
      <c r="G20" s="386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86"/>
      <c r="S20" s="386"/>
      <c r="T20" s="386"/>
      <c r="U20" s="386"/>
      <c r="V20" s="386"/>
      <c r="W20" s="386"/>
      <c r="X20" s="386"/>
      <c r="Y20" s="386"/>
      <c r="Z20" s="386"/>
      <c r="AA20" s="386"/>
      <c r="AB20" s="386"/>
      <c r="AC20" s="388"/>
      <c r="AD20" s="388"/>
      <c r="AE20" s="388"/>
      <c r="AF20" s="388"/>
      <c r="AG20" s="388"/>
      <c r="AH20" s="388"/>
      <c r="AI20" s="388"/>
      <c r="AJ20" s="388"/>
      <c r="AK20" s="388"/>
      <c r="AL20" s="388"/>
      <c r="AM20" s="388"/>
      <c r="AN20" s="388"/>
      <c r="AO20" s="388"/>
      <c r="AP20" s="388"/>
      <c r="AQ20" s="388"/>
      <c r="AR20" s="388"/>
      <c r="AS20" s="388"/>
      <c r="AT20" s="388"/>
      <c r="AU20" s="388"/>
      <c r="AV20" s="388"/>
      <c r="AW20" s="388"/>
      <c r="AX20" s="388"/>
      <c r="AY20" s="388"/>
      <c r="AZ20" s="388"/>
      <c r="BA20" s="388"/>
      <c r="BB20" s="388"/>
      <c r="BC20" s="388"/>
      <c r="BD20" s="388"/>
      <c r="BE20" s="388"/>
      <c r="BF20" s="388"/>
      <c r="BG20" s="388"/>
      <c r="BH20" s="388"/>
      <c r="BI20" s="388"/>
      <c r="BJ20" s="388"/>
      <c r="BK20" s="388"/>
      <c r="BL20" s="388"/>
      <c r="BM20" s="388"/>
      <c r="BN20" s="388"/>
      <c r="BO20" s="388"/>
      <c r="BP20" s="388"/>
      <c r="BQ20" s="388"/>
      <c r="BR20" s="388"/>
      <c r="BS20" s="388"/>
      <c r="BT20" s="388"/>
      <c r="BU20" s="388"/>
      <c r="BV20" s="388"/>
      <c r="BW20" s="388"/>
      <c r="BX20" s="388"/>
      <c r="BY20" s="388"/>
      <c r="BZ20" s="388"/>
      <c r="CA20" s="388"/>
      <c r="CB20" s="388"/>
      <c r="CC20" s="388"/>
      <c r="CD20" s="388"/>
      <c r="CE20" s="388"/>
      <c r="CF20" s="388"/>
      <c r="CG20" s="388"/>
      <c r="CH20" s="388"/>
      <c r="CI20" s="388"/>
      <c r="CJ20" s="257"/>
      <c r="CK20" s="389">
        <f t="shared" si="6"/>
        <v>0</v>
      </c>
      <c r="CL20" s="575"/>
    </row>
    <row r="21" spans="3:90">
      <c r="C21" s="391" t="s">
        <v>301</v>
      </c>
      <c r="D21" s="392">
        <v>0.12</v>
      </c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3"/>
      <c r="AC21" s="394"/>
      <c r="AD21" s="394"/>
      <c r="AE21" s="394"/>
      <c r="AF21" s="394"/>
      <c r="AG21" s="394"/>
      <c r="AH21" s="394"/>
      <c r="AI21" s="394"/>
      <c r="AJ21" s="394"/>
      <c r="AK21" s="394"/>
      <c r="AL21" s="394"/>
      <c r="AM21" s="394"/>
      <c r="AN21" s="394"/>
      <c r="AO21" s="394"/>
      <c r="AP21" s="394"/>
      <c r="AQ21" s="394"/>
      <c r="AR21" s="394"/>
      <c r="AS21" s="394"/>
      <c r="AT21" s="394"/>
      <c r="AU21" s="394"/>
      <c r="AV21" s="394"/>
      <c r="AW21" s="394"/>
      <c r="AX21" s="394"/>
      <c r="AY21" s="394"/>
      <c r="AZ21" s="394"/>
      <c r="BA21" s="394"/>
      <c r="BB21" s="394"/>
      <c r="BC21" s="394"/>
      <c r="BD21" s="394"/>
      <c r="BE21" s="394"/>
      <c r="BF21" s="394"/>
      <c r="BG21" s="394"/>
      <c r="BH21" s="394"/>
      <c r="BI21" s="394"/>
      <c r="BJ21" s="394"/>
      <c r="BK21" s="394"/>
      <c r="BL21" s="394"/>
      <c r="BM21" s="394"/>
      <c r="BN21" s="394"/>
      <c r="BO21" s="394"/>
      <c r="BP21" s="394"/>
      <c r="BQ21" s="394"/>
      <c r="BR21" s="394"/>
      <c r="BS21" s="394"/>
      <c r="BT21" s="394"/>
      <c r="BU21" s="394"/>
      <c r="BV21" s="394"/>
      <c r="BW21" s="394"/>
      <c r="BX21" s="394"/>
      <c r="BY21" s="394"/>
      <c r="BZ21" s="394"/>
      <c r="CA21" s="394"/>
      <c r="CB21" s="394"/>
      <c r="CC21" s="394"/>
      <c r="CD21" s="394"/>
      <c r="CE21" s="394"/>
      <c r="CF21" s="394"/>
      <c r="CG21" s="394"/>
      <c r="CH21" s="394"/>
      <c r="CI21" s="394"/>
      <c r="CJ21" s="391"/>
      <c r="CK21" s="395">
        <f t="shared" si="6"/>
        <v>0</v>
      </c>
      <c r="CL21" s="579"/>
    </row>
    <row r="24" spans="3:90">
      <c r="C24" s="378" t="s">
        <v>248</v>
      </c>
      <c r="D24" s="396" t="s">
        <v>191</v>
      </c>
      <c r="E24" s="397">
        <f>'Cash-flow BASE'!E74</f>
        <v>0</v>
      </c>
      <c r="F24" s="397">
        <f>'Cash-flow BASE'!F74</f>
        <v>0</v>
      </c>
      <c r="G24" s="397">
        <f>'Cash-flow BASE'!G74</f>
        <v>0</v>
      </c>
      <c r="H24" s="397">
        <f>'Cash-flow BASE'!H74</f>
        <v>0</v>
      </c>
      <c r="I24" s="397">
        <f>'Cash-flow BASE'!I74</f>
        <v>0</v>
      </c>
      <c r="J24" s="397">
        <f>'Cash-flow BASE'!J74</f>
        <v>0</v>
      </c>
      <c r="K24" s="397">
        <f>'Cash-flow BASE'!K74</f>
        <v>0</v>
      </c>
      <c r="L24" s="397">
        <f>'Cash-flow BASE'!L74</f>
        <v>0</v>
      </c>
      <c r="M24" s="397">
        <f>'Cash-flow BASE'!M74</f>
        <v>0</v>
      </c>
      <c r="N24" s="397">
        <f>'Cash-flow BASE'!N74</f>
        <v>0</v>
      </c>
      <c r="O24" s="397">
        <f>'Cash-flow BASE'!O74</f>
        <v>0</v>
      </c>
      <c r="P24" s="397">
        <f>'Cash-flow BASE'!P74</f>
        <v>0</v>
      </c>
      <c r="Q24" s="397">
        <f>'Cash-flow BASE'!Q74</f>
        <v>0</v>
      </c>
      <c r="R24" s="397">
        <f>'Cash-flow BASE'!R74</f>
        <v>0</v>
      </c>
      <c r="S24" s="397">
        <f>'Cash-flow BASE'!S74</f>
        <v>0</v>
      </c>
      <c r="T24" s="397">
        <f>'Cash-flow BASE'!T74</f>
        <v>0</v>
      </c>
      <c r="U24" s="397">
        <f>'Cash-flow BASE'!U74</f>
        <v>-10250000</v>
      </c>
      <c r="V24" s="397">
        <f>'Cash-flow BASE'!V74</f>
        <v>0</v>
      </c>
      <c r="W24" s="397">
        <f>'Cash-flow BASE'!W74</f>
        <v>0</v>
      </c>
      <c r="X24" s="397">
        <f>'Cash-flow BASE'!X74</f>
        <v>0</v>
      </c>
      <c r="Y24" s="397">
        <f>'Cash-flow BASE'!Y74</f>
        <v>0</v>
      </c>
      <c r="Z24" s="397">
        <f>'Cash-flow BASE'!Z74</f>
        <v>0</v>
      </c>
      <c r="AA24" s="397">
        <f>'Cash-flow BASE'!AA74</f>
        <v>0</v>
      </c>
      <c r="AB24" s="397">
        <f>'Cash-flow BASE'!AB74</f>
        <v>0</v>
      </c>
      <c r="AC24" s="397">
        <f>'Cash-flow BASE'!AC74</f>
        <v>0</v>
      </c>
      <c r="AD24" s="397">
        <f>'Cash-flow BASE'!AD74</f>
        <v>0</v>
      </c>
      <c r="AE24" s="397">
        <f>'Cash-flow BASE'!AE74</f>
        <v>0</v>
      </c>
      <c r="AF24" s="397">
        <f>'Cash-flow BASE'!AF74</f>
        <v>0</v>
      </c>
      <c r="AG24" s="397">
        <f>'Cash-flow BASE'!AG74</f>
        <v>0</v>
      </c>
      <c r="AH24" s="397">
        <f>'Cash-flow BASE'!AH74</f>
        <v>0</v>
      </c>
      <c r="AI24" s="397">
        <f>'Cash-flow BASE'!AI74</f>
        <v>-16022824</v>
      </c>
      <c r="AJ24" s="397">
        <f>'Cash-flow BASE'!AJ74</f>
        <v>0</v>
      </c>
      <c r="AK24" s="397">
        <f>'Cash-flow BASE'!AK74</f>
        <v>0</v>
      </c>
      <c r="AL24" s="397">
        <f>'Cash-flow BASE'!AL74</f>
        <v>0</v>
      </c>
      <c r="AM24" s="397">
        <f>'Cash-flow BASE'!AM74</f>
        <v>0</v>
      </c>
      <c r="AN24" s="397">
        <f>'Cash-flow BASE'!AN74</f>
        <v>0</v>
      </c>
      <c r="AO24" s="397">
        <f>'Cash-flow BASE'!AO74</f>
        <v>0</v>
      </c>
      <c r="AP24" s="397">
        <f>'Cash-flow BASE'!AP74</f>
        <v>0</v>
      </c>
      <c r="AQ24" s="397">
        <f>'Cash-flow BASE'!AQ74</f>
        <v>0</v>
      </c>
      <c r="AR24" s="397">
        <f>'Cash-flow BASE'!AR74</f>
        <v>0</v>
      </c>
      <c r="AS24" s="397">
        <f>'Cash-flow BASE'!AS74</f>
        <v>0</v>
      </c>
      <c r="AT24" s="397">
        <f>'Cash-flow BASE'!AT74</f>
        <v>0</v>
      </c>
      <c r="AU24" s="397">
        <f>'Cash-flow BASE'!AU74</f>
        <v>0</v>
      </c>
      <c r="AV24" s="397">
        <f>'Cash-flow BASE'!AV74</f>
        <v>0</v>
      </c>
      <c r="AW24" s="397">
        <f>'Cash-flow BASE'!AW74</f>
        <v>0</v>
      </c>
      <c r="AX24" s="397">
        <f>'Cash-flow BASE'!AX74</f>
        <v>0</v>
      </c>
      <c r="AY24" s="397">
        <f>'Cash-flow BASE'!AY74</f>
        <v>0</v>
      </c>
      <c r="AZ24" s="397">
        <f>'Cash-flow BASE'!AZ74</f>
        <v>0</v>
      </c>
      <c r="BA24" s="397">
        <f>'Cash-flow BASE'!BA74</f>
        <v>0</v>
      </c>
      <c r="BB24" s="397">
        <f>'Cash-flow BASE'!BB74</f>
        <v>0</v>
      </c>
      <c r="BC24" s="397">
        <f>'Cash-flow BASE'!BC74</f>
        <v>0</v>
      </c>
      <c r="BD24" s="397">
        <f>'Cash-flow BASE'!BD74</f>
        <v>0</v>
      </c>
      <c r="BE24" s="397">
        <f>'Cash-flow BASE'!BE74</f>
        <v>0</v>
      </c>
      <c r="BF24" s="397">
        <f>'Cash-flow BASE'!BF74</f>
        <v>0</v>
      </c>
      <c r="BG24" s="397">
        <f>'Cash-flow BASE'!BG74</f>
        <v>0</v>
      </c>
      <c r="BH24" s="397">
        <f>'Cash-flow BASE'!BH74</f>
        <v>0</v>
      </c>
      <c r="BI24" s="397">
        <f>'Cash-flow BASE'!BI74</f>
        <v>0</v>
      </c>
      <c r="BJ24" s="397">
        <f>'Cash-flow BASE'!BJ74</f>
        <v>0</v>
      </c>
      <c r="BK24" s="397">
        <f>'Cash-flow BASE'!BK74</f>
        <v>0</v>
      </c>
      <c r="BL24" s="397">
        <f>'Cash-flow BASE'!BL74</f>
        <v>0</v>
      </c>
      <c r="BM24" s="397">
        <f>'Cash-flow BASE'!BM74</f>
        <v>0</v>
      </c>
      <c r="BN24" s="397">
        <f>'Cash-flow BASE'!BN74</f>
        <v>0</v>
      </c>
      <c r="BO24" s="397">
        <f>'Cash-flow BASE'!BO74</f>
        <v>0</v>
      </c>
      <c r="BP24" s="397">
        <f>'Cash-flow BASE'!BP74</f>
        <v>0</v>
      </c>
      <c r="BQ24" s="397">
        <f>'Cash-flow BASE'!BQ74</f>
        <v>0</v>
      </c>
      <c r="BR24" s="397">
        <f>'Cash-flow BASE'!BR74</f>
        <v>0</v>
      </c>
      <c r="BS24" s="397">
        <f>'Cash-flow BASE'!BS74</f>
        <v>0</v>
      </c>
      <c r="BT24" s="397">
        <f>'Cash-flow BASE'!BT74</f>
        <v>0</v>
      </c>
      <c r="BU24" s="397">
        <f>'Cash-flow BASE'!BU74</f>
        <v>0</v>
      </c>
      <c r="BV24" s="397">
        <f>'Cash-flow BASE'!BV74</f>
        <v>0</v>
      </c>
      <c r="BW24" s="397">
        <f>'Cash-flow BASE'!BW74</f>
        <v>0</v>
      </c>
      <c r="BX24" s="397">
        <f>'Cash-flow BASE'!BX74</f>
        <v>0</v>
      </c>
      <c r="BY24" s="398"/>
      <c r="BZ24" s="382"/>
      <c r="CA24" s="382"/>
      <c r="CB24" s="382"/>
      <c r="CC24" s="382"/>
      <c r="CD24" s="382"/>
      <c r="CE24" s="382"/>
      <c r="CF24" s="382"/>
      <c r="CG24" s="382"/>
      <c r="CH24" s="382"/>
      <c r="CI24" s="382"/>
      <c r="CJ24" s="383"/>
      <c r="CK24" s="399">
        <f t="shared" ref="CK24:CK34" si="7">SUM(E24:CJ24)</f>
        <v>-26272824</v>
      </c>
      <c r="CL24" s="551">
        <f>SUM(CK24:CK37)</f>
        <v>-78818472</v>
      </c>
    </row>
    <row r="25" spans="3:90">
      <c r="C25" s="257" t="s">
        <v>249</v>
      </c>
      <c r="D25" s="258" t="s">
        <v>191</v>
      </c>
      <c r="E25" s="497">
        <f>'Cash-flow BASE'!E75</f>
        <v>0</v>
      </c>
      <c r="F25" s="498">
        <f>'Cash-flow BASE'!F75</f>
        <v>0</v>
      </c>
      <c r="G25" s="498">
        <f>'Cash-flow BASE'!G75</f>
        <v>0</v>
      </c>
      <c r="H25" s="498">
        <f>'Cash-flow BASE'!H75</f>
        <v>0</v>
      </c>
      <c r="I25" s="498">
        <f>'Cash-flow BASE'!I75</f>
        <v>0</v>
      </c>
      <c r="J25" s="498">
        <f>'Cash-flow BASE'!J75</f>
        <v>0</v>
      </c>
      <c r="K25" s="498">
        <f>'Cash-flow BASE'!K75</f>
        <v>0</v>
      </c>
      <c r="L25" s="498">
        <f>'Cash-flow BASE'!L75</f>
        <v>0</v>
      </c>
      <c r="M25" s="498">
        <f>'Cash-flow BASE'!M75</f>
        <v>0</v>
      </c>
      <c r="N25" s="498">
        <f>'Cash-flow BASE'!N75</f>
        <v>0</v>
      </c>
      <c r="O25" s="498">
        <f>'Cash-flow BASE'!O75</f>
        <v>0</v>
      </c>
      <c r="P25" s="498">
        <f>'Cash-flow BASE'!P75</f>
        <v>0</v>
      </c>
      <c r="Q25" s="498">
        <f>'Cash-flow BASE'!Q75</f>
        <v>0</v>
      </c>
      <c r="R25" s="498">
        <f>'Cash-flow BASE'!R75</f>
        <v>0</v>
      </c>
      <c r="S25" s="498">
        <f>'Cash-flow BASE'!S75</f>
        <v>0</v>
      </c>
      <c r="T25" s="498">
        <f>'Cash-flow BASE'!T75</f>
        <v>0</v>
      </c>
      <c r="U25" s="498">
        <f>'Cash-flow BASE'!U75</f>
        <v>-10250000</v>
      </c>
      <c r="V25" s="498">
        <f>'Cash-flow BASE'!V75</f>
        <v>0</v>
      </c>
      <c r="W25" s="498">
        <f>'Cash-flow BASE'!W75</f>
        <v>0</v>
      </c>
      <c r="X25" s="498">
        <f>'Cash-flow BASE'!X75</f>
        <v>0</v>
      </c>
      <c r="Y25" s="498">
        <f>'Cash-flow BASE'!Y75</f>
        <v>0</v>
      </c>
      <c r="Z25" s="498">
        <f>'Cash-flow BASE'!Z75</f>
        <v>0</v>
      </c>
      <c r="AA25" s="498">
        <f>'Cash-flow BASE'!AA75</f>
        <v>0</v>
      </c>
      <c r="AB25" s="498">
        <f>'Cash-flow BASE'!AB75</f>
        <v>0</v>
      </c>
      <c r="AC25" s="498">
        <f>'Cash-flow BASE'!AC75</f>
        <v>0</v>
      </c>
      <c r="AD25" s="498">
        <f>'Cash-flow BASE'!AD75</f>
        <v>0</v>
      </c>
      <c r="AE25" s="498">
        <f>'Cash-flow BASE'!AE75</f>
        <v>0</v>
      </c>
      <c r="AF25" s="498">
        <f>'Cash-flow BASE'!AF75</f>
        <v>0</v>
      </c>
      <c r="AG25" s="498">
        <f>'Cash-flow BASE'!AG75</f>
        <v>0</v>
      </c>
      <c r="AH25" s="498">
        <f>'Cash-flow BASE'!AH75</f>
        <v>0</v>
      </c>
      <c r="AI25" s="498">
        <f>'Cash-flow BASE'!AI75</f>
        <v>-16022824</v>
      </c>
      <c r="AJ25" s="498">
        <f>'Cash-flow BASE'!AJ75</f>
        <v>0</v>
      </c>
      <c r="AK25" s="498">
        <f>'Cash-flow BASE'!AK75</f>
        <v>0</v>
      </c>
      <c r="AL25" s="498">
        <f>'Cash-flow BASE'!AL75</f>
        <v>0</v>
      </c>
      <c r="AM25" s="498">
        <f>'Cash-flow BASE'!AM75</f>
        <v>0</v>
      </c>
      <c r="AN25" s="498">
        <f>'Cash-flow BASE'!AN75</f>
        <v>0</v>
      </c>
      <c r="AO25" s="498">
        <f>'Cash-flow BASE'!AO75</f>
        <v>0</v>
      </c>
      <c r="AP25" s="498">
        <f>'Cash-flow BASE'!AP75</f>
        <v>0</v>
      </c>
      <c r="AQ25" s="498">
        <f>'Cash-flow BASE'!AQ75</f>
        <v>0</v>
      </c>
      <c r="AR25" s="498">
        <f>'Cash-flow BASE'!AR75</f>
        <v>0</v>
      </c>
      <c r="AS25" s="498">
        <f>'Cash-flow BASE'!AS75</f>
        <v>0</v>
      </c>
      <c r="AT25" s="498">
        <f>'Cash-flow BASE'!AT75</f>
        <v>0</v>
      </c>
      <c r="AU25" s="498">
        <f>'Cash-flow BASE'!AU75</f>
        <v>0</v>
      </c>
      <c r="AV25" s="498">
        <f>'Cash-flow BASE'!AV75</f>
        <v>0</v>
      </c>
      <c r="AW25" s="498">
        <f>'Cash-flow BASE'!AW75</f>
        <v>0</v>
      </c>
      <c r="AX25" s="498">
        <f>'Cash-flow BASE'!AX75</f>
        <v>0</v>
      </c>
      <c r="AY25" s="498">
        <f>'Cash-flow BASE'!AY75</f>
        <v>0</v>
      </c>
      <c r="AZ25" s="498">
        <f>'Cash-flow BASE'!AZ75</f>
        <v>0</v>
      </c>
      <c r="BA25" s="498">
        <f>'Cash-flow BASE'!BA75</f>
        <v>0</v>
      </c>
      <c r="BB25" s="498">
        <f>'Cash-flow BASE'!BB75</f>
        <v>0</v>
      </c>
      <c r="BC25" s="498">
        <f>'Cash-flow BASE'!BC75</f>
        <v>0</v>
      </c>
      <c r="BD25" s="498">
        <f>'Cash-flow BASE'!BD75</f>
        <v>0</v>
      </c>
      <c r="BE25" s="498">
        <f>'Cash-flow BASE'!BE75</f>
        <v>0</v>
      </c>
      <c r="BF25" s="498">
        <f>'Cash-flow BASE'!BF75</f>
        <v>0</v>
      </c>
      <c r="BG25" s="498">
        <f>'Cash-flow BASE'!BG75</f>
        <v>0</v>
      </c>
      <c r="BH25" s="498">
        <f>'Cash-flow BASE'!BH75</f>
        <v>0</v>
      </c>
      <c r="BI25" s="498">
        <f>'Cash-flow BASE'!BI75</f>
        <v>0</v>
      </c>
      <c r="BJ25" s="498">
        <f>'Cash-flow BASE'!BJ75</f>
        <v>0</v>
      </c>
      <c r="BK25" s="498">
        <f>'Cash-flow BASE'!BK75</f>
        <v>0</v>
      </c>
      <c r="BL25" s="498">
        <f>'Cash-flow BASE'!BL75</f>
        <v>0</v>
      </c>
      <c r="BM25" s="498">
        <f>'Cash-flow BASE'!BM75</f>
        <v>0</v>
      </c>
      <c r="BN25" s="498">
        <f>'Cash-flow BASE'!BN75</f>
        <v>0</v>
      </c>
      <c r="BO25" s="498">
        <f>'Cash-flow BASE'!BO75</f>
        <v>0</v>
      </c>
      <c r="BP25" s="498">
        <f>'Cash-flow BASE'!BP75</f>
        <v>0</v>
      </c>
      <c r="BQ25" s="498">
        <f>'Cash-flow BASE'!BQ75</f>
        <v>0</v>
      </c>
      <c r="BR25" s="498">
        <f>'Cash-flow BASE'!BR75</f>
        <v>0</v>
      </c>
      <c r="BS25" s="498">
        <f>'Cash-flow BASE'!BS75</f>
        <v>0</v>
      </c>
      <c r="BT25" s="498">
        <f>'Cash-flow BASE'!BT75</f>
        <v>0</v>
      </c>
      <c r="BU25" s="498">
        <f>'Cash-flow BASE'!BU75</f>
        <v>0</v>
      </c>
      <c r="BV25" s="498">
        <f>'Cash-flow BASE'!BV75</f>
        <v>0</v>
      </c>
      <c r="BW25" s="498">
        <f>'Cash-flow BASE'!BW75</f>
        <v>0</v>
      </c>
      <c r="BX25" s="498">
        <f>'Cash-flow BASE'!BX75</f>
        <v>0</v>
      </c>
      <c r="BY25" s="499"/>
      <c r="BZ25" s="388"/>
      <c r="CA25" s="388"/>
      <c r="CB25" s="388"/>
      <c r="CC25" s="388"/>
      <c r="CD25" s="388"/>
      <c r="CE25" s="388"/>
      <c r="CF25" s="388"/>
      <c r="CG25" s="388"/>
      <c r="CH25" s="388"/>
      <c r="CI25" s="388"/>
      <c r="CJ25" s="257"/>
      <c r="CK25" s="400">
        <f t="shared" si="7"/>
        <v>-26272824</v>
      </c>
      <c r="CL25" s="575"/>
    </row>
    <row r="26" spans="3:90">
      <c r="C26" s="401" t="str">
        <f t="shared" ref="C26:C28" si="8">C5</f>
        <v>NanoProjekt-10 s.r.o.</v>
      </c>
      <c r="D26" s="258" t="s">
        <v>191</v>
      </c>
      <c r="E26" s="402"/>
      <c r="F26" s="402"/>
      <c r="G26" s="402"/>
      <c r="H26" s="402"/>
      <c r="I26" s="402"/>
      <c r="J26" s="402"/>
      <c r="K26" s="402"/>
      <c r="L26" s="402"/>
      <c r="M26" s="402"/>
      <c r="N26" s="402"/>
      <c r="O26" s="402"/>
      <c r="P26" s="402"/>
      <c r="Q26" s="402"/>
      <c r="R26" s="402"/>
      <c r="S26" s="402"/>
      <c r="T26" s="402"/>
      <c r="U26" s="403">
        <f t="shared" ref="U26:BY26" si="9">U25*0.5</f>
        <v>-5125000</v>
      </c>
      <c r="V26" s="403">
        <f t="shared" si="9"/>
        <v>0</v>
      </c>
      <c r="W26" s="403">
        <f t="shared" si="9"/>
        <v>0</v>
      </c>
      <c r="X26" s="403">
        <f t="shared" si="9"/>
        <v>0</v>
      </c>
      <c r="Y26" s="403">
        <f t="shared" si="9"/>
        <v>0</v>
      </c>
      <c r="Z26" s="403">
        <f t="shared" si="9"/>
        <v>0</v>
      </c>
      <c r="AA26" s="403">
        <f t="shared" si="9"/>
        <v>0</v>
      </c>
      <c r="AB26" s="403">
        <f t="shared" si="9"/>
        <v>0</v>
      </c>
      <c r="AC26" s="403">
        <f t="shared" si="9"/>
        <v>0</v>
      </c>
      <c r="AD26" s="403">
        <f t="shared" si="9"/>
        <v>0</v>
      </c>
      <c r="AE26" s="403">
        <f t="shared" si="9"/>
        <v>0</v>
      </c>
      <c r="AF26" s="403">
        <f t="shared" si="9"/>
        <v>0</v>
      </c>
      <c r="AG26" s="403">
        <f t="shared" si="9"/>
        <v>0</v>
      </c>
      <c r="AH26" s="403">
        <f t="shared" si="9"/>
        <v>0</v>
      </c>
      <c r="AI26" s="403">
        <f t="shared" si="9"/>
        <v>-8011412</v>
      </c>
      <c r="AJ26" s="403">
        <f t="shared" si="9"/>
        <v>0</v>
      </c>
      <c r="AK26" s="403">
        <f t="shared" si="9"/>
        <v>0</v>
      </c>
      <c r="AL26" s="403">
        <f t="shared" si="9"/>
        <v>0</v>
      </c>
      <c r="AM26" s="403">
        <f t="shared" si="9"/>
        <v>0</v>
      </c>
      <c r="AN26" s="403">
        <f t="shared" si="9"/>
        <v>0</v>
      </c>
      <c r="AO26" s="403">
        <f t="shared" si="9"/>
        <v>0</v>
      </c>
      <c r="AP26" s="403">
        <f t="shared" si="9"/>
        <v>0</v>
      </c>
      <c r="AQ26" s="403">
        <f t="shared" si="9"/>
        <v>0</v>
      </c>
      <c r="AR26" s="403">
        <f t="shared" si="9"/>
        <v>0</v>
      </c>
      <c r="AS26" s="403">
        <f t="shared" si="9"/>
        <v>0</v>
      </c>
      <c r="AT26" s="403">
        <f t="shared" si="9"/>
        <v>0</v>
      </c>
      <c r="AU26" s="403">
        <f t="shared" si="9"/>
        <v>0</v>
      </c>
      <c r="AV26" s="403">
        <f t="shared" si="9"/>
        <v>0</v>
      </c>
      <c r="AW26" s="403">
        <f t="shared" si="9"/>
        <v>0</v>
      </c>
      <c r="AX26" s="403">
        <f t="shared" si="9"/>
        <v>0</v>
      </c>
      <c r="AY26" s="403">
        <f t="shared" si="9"/>
        <v>0</v>
      </c>
      <c r="AZ26" s="403">
        <f t="shared" si="9"/>
        <v>0</v>
      </c>
      <c r="BA26" s="403">
        <f t="shared" si="9"/>
        <v>0</v>
      </c>
      <c r="BB26" s="403">
        <f t="shared" si="9"/>
        <v>0</v>
      </c>
      <c r="BC26" s="403">
        <f t="shared" si="9"/>
        <v>0</v>
      </c>
      <c r="BD26" s="403">
        <f t="shared" si="9"/>
        <v>0</v>
      </c>
      <c r="BE26" s="403">
        <f t="shared" si="9"/>
        <v>0</v>
      </c>
      <c r="BF26" s="403">
        <f t="shared" si="9"/>
        <v>0</v>
      </c>
      <c r="BG26" s="403">
        <f t="shared" si="9"/>
        <v>0</v>
      </c>
      <c r="BH26" s="403">
        <f t="shared" si="9"/>
        <v>0</v>
      </c>
      <c r="BI26" s="403">
        <f t="shared" si="9"/>
        <v>0</v>
      </c>
      <c r="BJ26" s="403">
        <f t="shared" si="9"/>
        <v>0</v>
      </c>
      <c r="BK26" s="403">
        <f t="shared" si="9"/>
        <v>0</v>
      </c>
      <c r="BL26" s="403">
        <f t="shared" si="9"/>
        <v>0</v>
      </c>
      <c r="BM26" s="403">
        <f t="shared" si="9"/>
        <v>0</v>
      </c>
      <c r="BN26" s="403">
        <f t="shared" si="9"/>
        <v>0</v>
      </c>
      <c r="BO26" s="403">
        <f t="shared" si="9"/>
        <v>0</v>
      </c>
      <c r="BP26" s="403">
        <f t="shared" si="9"/>
        <v>0</v>
      </c>
      <c r="BQ26" s="403">
        <f t="shared" si="9"/>
        <v>0</v>
      </c>
      <c r="BR26" s="403">
        <f t="shared" si="9"/>
        <v>0</v>
      </c>
      <c r="BS26" s="403">
        <f t="shared" si="9"/>
        <v>0</v>
      </c>
      <c r="BT26" s="403">
        <f t="shared" si="9"/>
        <v>0</v>
      </c>
      <c r="BU26" s="403">
        <f t="shared" si="9"/>
        <v>0</v>
      </c>
      <c r="BV26" s="403">
        <f t="shared" si="9"/>
        <v>0</v>
      </c>
      <c r="BW26" s="403">
        <f t="shared" si="9"/>
        <v>0</v>
      </c>
      <c r="BX26" s="403">
        <f t="shared" si="9"/>
        <v>0</v>
      </c>
      <c r="BY26" s="403">
        <f t="shared" si="9"/>
        <v>0</v>
      </c>
      <c r="BZ26" s="388"/>
      <c r="CA26" s="388"/>
      <c r="CB26" s="388"/>
      <c r="CC26" s="388"/>
      <c r="CD26" s="388"/>
      <c r="CE26" s="388"/>
      <c r="CF26" s="388"/>
      <c r="CG26" s="388"/>
      <c r="CH26" s="388"/>
      <c r="CI26" s="388"/>
      <c r="CJ26" s="257"/>
      <c r="CK26" s="400">
        <f t="shared" si="7"/>
        <v>-13136412</v>
      </c>
      <c r="CL26" s="575"/>
    </row>
    <row r="27" spans="3:90">
      <c r="C27" s="401" t="str">
        <f t="shared" si="8"/>
        <v>GORA-N RETAIL s.r.o.</v>
      </c>
      <c r="D27" s="258" t="s">
        <v>191</v>
      </c>
      <c r="E27" s="402"/>
      <c r="F27" s="402"/>
      <c r="G27" s="402"/>
      <c r="H27" s="402"/>
      <c r="I27" s="402"/>
      <c r="J27" s="402"/>
      <c r="K27" s="402"/>
      <c r="L27" s="402"/>
      <c r="M27" s="402"/>
      <c r="N27" s="402"/>
      <c r="O27" s="402"/>
      <c r="P27" s="402"/>
      <c r="Q27" s="402"/>
      <c r="R27" s="402"/>
      <c r="S27" s="402"/>
      <c r="T27" s="402"/>
      <c r="U27" s="403">
        <f t="shared" ref="U27:BY27" si="10">U25*0.25</f>
        <v>-2562500</v>
      </c>
      <c r="V27" s="403">
        <f t="shared" si="10"/>
        <v>0</v>
      </c>
      <c r="W27" s="403">
        <f t="shared" si="10"/>
        <v>0</v>
      </c>
      <c r="X27" s="403">
        <f t="shared" si="10"/>
        <v>0</v>
      </c>
      <c r="Y27" s="403">
        <f t="shared" si="10"/>
        <v>0</v>
      </c>
      <c r="Z27" s="403">
        <f t="shared" si="10"/>
        <v>0</v>
      </c>
      <c r="AA27" s="403">
        <f t="shared" si="10"/>
        <v>0</v>
      </c>
      <c r="AB27" s="403">
        <f t="shared" si="10"/>
        <v>0</v>
      </c>
      <c r="AC27" s="403">
        <f t="shared" si="10"/>
        <v>0</v>
      </c>
      <c r="AD27" s="403">
        <f t="shared" si="10"/>
        <v>0</v>
      </c>
      <c r="AE27" s="403">
        <f t="shared" si="10"/>
        <v>0</v>
      </c>
      <c r="AF27" s="403">
        <f t="shared" si="10"/>
        <v>0</v>
      </c>
      <c r="AG27" s="403">
        <f t="shared" si="10"/>
        <v>0</v>
      </c>
      <c r="AH27" s="403">
        <f t="shared" si="10"/>
        <v>0</v>
      </c>
      <c r="AI27" s="403">
        <f t="shared" si="10"/>
        <v>-4005706</v>
      </c>
      <c r="AJ27" s="403">
        <f t="shared" si="10"/>
        <v>0</v>
      </c>
      <c r="AK27" s="403">
        <f t="shared" si="10"/>
        <v>0</v>
      </c>
      <c r="AL27" s="403">
        <f t="shared" si="10"/>
        <v>0</v>
      </c>
      <c r="AM27" s="403">
        <f t="shared" si="10"/>
        <v>0</v>
      </c>
      <c r="AN27" s="403">
        <f t="shared" si="10"/>
        <v>0</v>
      </c>
      <c r="AO27" s="403">
        <f t="shared" si="10"/>
        <v>0</v>
      </c>
      <c r="AP27" s="403">
        <f t="shared" si="10"/>
        <v>0</v>
      </c>
      <c r="AQ27" s="403">
        <f t="shared" si="10"/>
        <v>0</v>
      </c>
      <c r="AR27" s="403">
        <f t="shared" si="10"/>
        <v>0</v>
      </c>
      <c r="AS27" s="403">
        <f t="shared" si="10"/>
        <v>0</v>
      </c>
      <c r="AT27" s="403">
        <f t="shared" si="10"/>
        <v>0</v>
      </c>
      <c r="AU27" s="403">
        <f t="shared" si="10"/>
        <v>0</v>
      </c>
      <c r="AV27" s="403">
        <f t="shared" si="10"/>
        <v>0</v>
      </c>
      <c r="AW27" s="403">
        <f t="shared" si="10"/>
        <v>0</v>
      </c>
      <c r="AX27" s="403">
        <f t="shared" si="10"/>
        <v>0</v>
      </c>
      <c r="AY27" s="403">
        <f t="shared" si="10"/>
        <v>0</v>
      </c>
      <c r="AZ27" s="403">
        <f t="shared" si="10"/>
        <v>0</v>
      </c>
      <c r="BA27" s="403">
        <f t="shared" si="10"/>
        <v>0</v>
      </c>
      <c r="BB27" s="403">
        <f t="shared" si="10"/>
        <v>0</v>
      </c>
      <c r="BC27" s="403">
        <f t="shared" si="10"/>
        <v>0</v>
      </c>
      <c r="BD27" s="403">
        <f t="shared" si="10"/>
        <v>0</v>
      </c>
      <c r="BE27" s="403">
        <f t="shared" si="10"/>
        <v>0</v>
      </c>
      <c r="BF27" s="403">
        <f t="shared" si="10"/>
        <v>0</v>
      </c>
      <c r="BG27" s="403">
        <f t="shared" si="10"/>
        <v>0</v>
      </c>
      <c r="BH27" s="403">
        <f t="shared" si="10"/>
        <v>0</v>
      </c>
      <c r="BI27" s="403">
        <f t="shared" si="10"/>
        <v>0</v>
      </c>
      <c r="BJ27" s="403">
        <f t="shared" si="10"/>
        <v>0</v>
      </c>
      <c r="BK27" s="403">
        <f t="shared" si="10"/>
        <v>0</v>
      </c>
      <c r="BL27" s="403">
        <f t="shared" si="10"/>
        <v>0</v>
      </c>
      <c r="BM27" s="403">
        <f t="shared" si="10"/>
        <v>0</v>
      </c>
      <c r="BN27" s="403">
        <f t="shared" si="10"/>
        <v>0</v>
      </c>
      <c r="BO27" s="403">
        <f t="shared" si="10"/>
        <v>0</v>
      </c>
      <c r="BP27" s="403">
        <f t="shared" si="10"/>
        <v>0</v>
      </c>
      <c r="BQ27" s="403">
        <f t="shared" si="10"/>
        <v>0</v>
      </c>
      <c r="BR27" s="403">
        <f t="shared" si="10"/>
        <v>0</v>
      </c>
      <c r="BS27" s="403">
        <f t="shared" si="10"/>
        <v>0</v>
      </c>
      <c r="BT27" s="403">
        <f t="shared" si="10"/>
        <v>0</v>
      </c>
      <c r="BU27" s="403">
        <f t="shared" si="10"/>
        <v>0</v>
      </c>
      <c r="BV27" s="403">
        <f t="shared" si="10"/>
        <v>0</v>
      </c>
      <c r="BW27" s="403">
        <f t="shared" si="10"/>
        <v>0</v>
      </c>
      <c r="BX27" s="403">
        <f t="shared" si="10"/>
        <v>0</v>
      </c>
      <c r="BY27" s="403">
        <f t="shared" si="10"/>
        <v>0</v>
      </c>
      <c r="BZ27" s="388"/>
      <c r="CA27" s="388"/>
      <c r="CB27" s="388"/>
      <c r="CC27" s="388"/>
      <c r="CD27" s="388"/>
      <c r="CE27" s="388"/>
      <c r="CF27" s="388"/>
      <c r="CG27" s="388"/>
      <c r="CH27" s="388"/>
      <c r="CI27" s="388"/>
      <c r="CJ27" s="257"/>
      <c r="CK27" s="400">
        <f t="shared" si="7"/>
        <v>-6568206</v>
      </c>
      <c r="CL27" s="575"/>
    </row>
    <row r="28" spans="3:90">
      <c r="C28" s="401" t="str">
        <f t="shared" si="8"/>
        <v>PGS-INVEST R s.r.o.</v>
      </c>
      <c r="D28" s="258" t="s">
        <v>191</v>
      </c>
      <c r="E28" s="402"/>
      <c r="F28" s="402"/>
      <c r="G28" s="402"/>
      <c r="H28" s="402"/>
      <c r="I28" s="402"/>
      <c r="J28" s="402"/>
      <c r="K28" s="402"/>
      <c r="L28" s="402"/>
      <c r="M28" s="402"/>
      <c r="N28" s="402"/>
      <c r="O28" s="402"/>
      <c r="P28" s="402"/>
      <c r="Q28" s="402"/>
      <c r="R28" s="402"/>
      <c r="S28" s="402"/>
      <c r="T28" s="402"/>
      <c r="U28" s="403">
        <f t="shared" ref="U28:BY28" si="11">U25*0.25</f>
        <v>-2562500</v>
      </c>
      <c r="V28" s="403">
        <f t="shared" si="11"/>
        <v>0</v>
      </c>
      <c r="W28" s="403">
        <f t="shared" si="11"/>
        <v>0</v>
      </c>
      <c r="X28" s="403">
        <f t="shared" si="11"/>
        <v>0</v>
      </c>
      <c r="Y28" s="403">
        <f t="shared" si="11"/>
        <v>0</v>
      </c>
      <c r="Z28" s="403">
        <f t="shared" si="11"/>
        <v>0</v>
      </c>
      <c r="AA28" s="403">
        <f t="shared" si="11"/>
        <v>0</v>
      </c>
      <c r="AB28" s="403">
        <f t="shared" si="11"/>
        <v>0</v>
      </c>
      <c r="AC28" s="403">
        <f t="shared" si="11"/>
        <v>0</v>
      </c>
      <c r="AD28" s="403">
        <f t="shared" si="11"/>
        <v>0</v>
      </c>
      <c r="AE28" s="403">
        <f t="shared" si="11"/>
        <v>0</v>
      </c>
      <c r="AF28" s="403">
        <f t="shared" si="11"/>
        <v>0</v>
      </c>
      <c r="AG28" s="403">
        <f t="shared" si="11"/>
        <v>0</v>
      </c>
      <c r="AH28" s="403">
        <f t="shared" si="11"/>
        <v>0</v>
      </c>
      <c r="AI28" s="403">
        <f t="shared" si="11"/>
        <v>-4005706</v>
      </c>
      <c r="AJ28" s="403">
        <f t="shared" si="11"/>
        <v>0</v>
      </c>
      <c r="AK28" s="403">
        <f t="shared" si="11"/>
        <v>0</v>
      </c>
      <c r="AL28" s="403">
        <f t="shared" si="11"/>
        <v>0</v>
      </c>
      <c r="AM28" s="403">
        <f t="shared" si="11"/>
        <v>0</v>
      </c>
      <c r="AN28" s="403">
        <f t="shared" si="11"/>
        <v>0</v>
      </c>
      <c r="AO28" s="403">
        <f t="shared" si="11"/>
        <v>0</v>
      </c>
      <c r="AP28" s="403">
        <f t="shared" si="11"/>
        <v>0</v>
      </c>
      <c r="AQ28" s="403">
        <f t="shared" si="11"/>
        <v>0</v>
      </c>
      <c r="AR28" s="403">
        <f t="shared" si="11"/>
        <v>0</v>
      </c>
      <c r="AS28" s="403">
        <f t="shared" si="11"/>
        <v>0</v>
      </c>
      <c r="AT28" s="403">
        <f t="shared" si="11"/>
        <v>0</v>
      </c>
      <c r="AU28" s="403">
        <f t="shared" si="11"/>
        <v>0</v>
      </c>
      <c r="AV28" s="403">
        <f t="shared" si="11"/>
        <v>0</v>
      </c>
      <c r="AW28" s="403">
        <f t="shared" si="11"/>
        <v>0</v>
      </c>
      <c r="AX28" s="403">
        <f t="shared" si="11"/>
        <v>0</v>
      </c>
      <c r="AY28" s="403">
        <f t="shared" si="11"/>
        <v>0</v>
      </c>
      <c r="AZ28" s="403">
        <f t="shared" si="11"/>
        <v>0</v>
      </c>
      <c r="BA28" s="403">
        <f t="shared" si="11"/>
        <v>0</v>
      </c>
      <c r="BB28" s="403">
        <f t="shared" si="11"/>
        <v>0</v>
      </c>
      <c r="BC28" s="403">
        <f t="shared" si="11"/>
        <v>0</v>
      </c>
      <c r="BD28" s="403">
        <f t="shared" si="11"/>
        <v>0</v>
      </c>
      <c r="BE28" s="403">
        <f t="shared" si="11"/>
        <v>0</v>
      </c>
      <c r="BF28" s="403">
        <f t="shared" si="11"/>
        <v>0</v>
      </c>
      <c r="BG28" s="403">
        <f t="shared" si="11"/>
        <v>0</v>
      </c>
      <c r="BH28" s="403">
        <f t="shared" si="11"/>
        <v>0</v>
      </c>
      <c r="BI28" s="403">
        <f t="shared" si="11"/>
        <v>0</v>
      </c>
      <c r="BJ28" s="403">
        <f t="shared" si="11"/>
        <v>0</v>
      </c>
      <c r="BK28" s="403">
        <f t="shared" si="11"/>
        <v>0</v>
      </c>
      <c r="BL28" s="403">
        <f t="shared" si="11"/>
        <v>0</v>
      </c>
      <c r="BM28" s="403">
        <f t="shared" si="11"/>
        <v>0</v>
      </c>
      <c r="BN28" s="403">
        <f t="shared" si="11"/>
        <v>0</v>
      </c>
      <c r="BO28" s="403">
        <f t="shared" si="11"/>
        <v>0</v>
      </c>
      <c r="BP28" s="403">
        <f t="shared" si="11"/>
        <v>0</v>
      </c>
      <c r="BQ28" s="403">
        <f t="shared" si="11"/>
        <v>0</v>
      </c>
      <c r="BR28" s="403">
        <f t="shared" si="11"/>
        <v>0</v>
      </c>
      <c r="BS28" s="403">
        <f t="shared" si="11"/>
        <v>0</v>
      </c>
      <c r="BT28" s="403">
        <f t="shared" si="11"/>
        <v>0</v>
      </c>
      <c r="BU28" s="403">
        <f t="shared" si="11"/>
        <v>0</v>
      </c>
      <c r="BV28" s="403">
        <f t="shared" si="11"/>
        <v>0</v>
      </c>
      <c r="BW28" s="403">
        <f t="shared" si="11"/>
        <v>0</v>
      </c>
      <c r="BX28" s="403">
        <f t="shared" si="11"/>
        <v>0</v>
      </c>
      <c r="BY28" s="403">
        <f t="shared" si="11"/>
        <v>0</v>
      </c>
      <c r="BZ28" s="388"/>
      <c r="CA28" s="388"/>
      <c r="CB28" s="388"/>
      <c r="CC28" s="388"/>
      <c r="CD28" s="388"/>
      <c r="CE28" s="388"/>
      <c r="CF28" s="388"/>
      <c r="CG28" s="388"/>
      <c r="CH28" s="388"/>
      <c r="CI28" s="388"/>
      <c r="CJ28" s="257"/>
      <c r="CK28" s="400">
        <f t="shared" si="7"/>
        <v>-6568206</v>
      </c>
      <c r="CL28" s="575"/>
    </row>
    <row r="29" spans="3:90">
      <c r="C29" s="257" t="s">
        <v>250</v>
      </c>
      <c r="D29" s="258" t="s">
        <v>191</v>
      </c>
      <c r="E29" s="402">
        <f>'Cash-flow BASE'!E76</f>
        <v>0</v>
      </c>
      <c r="F29" s="402">
        <f>'Cash-flow BASE'!F76</f>
        <v>0</v>
      </c>
      <c r="G29" s="402">
        <f>'Cash-flow BASE'!G76</f>
        <v>0</v>
      </c>
      <c r="H29" s="402">
        <f>'Cash-flow BASE'!H76</f>
        <v>0</v>
      </c>
      <c r="I29" s="402">
        <f>'Cash-flow BASE'!I76</f>
        <v>0</v>
      </c>
      <c r="J29" s="402">
        <f>'Cash-flow BASE'!J76</f>
        <v>0</v>
      </c>
      <c r="K29" s="402">
        <f>'Cash-flow BASE'!K76</f>
        <v>0</v>
      </c>
      <c r="L29" s="402">
        <f>'Cash-flow BASE'!L76</f>
        <v>0</v>
      </c>
      <c r="M29" s="402">
        <f>'Cash-flow BASE'!M76</f>
        <v>0</v>
      </c>
      <c r="N29" s="402">
        <f>'Cash-flow BASE'!N76</f>
        <v>0</v>
      </c>
      <c r="O29" s="402">
        <f>'Cash-flow BASE'!O76</f>
        <v>0</v>
      </c>
      <c r="P29" s="402">
        <f>'Cash-flow BASE'!P76</f>
        <v>0</v>
      </c>
      <c r="Q29" s="402">
        <f>'Cash-flow BASE'!Q76</f>
        <v>0</v>
      </c>
      <c r="R29" s="402">
        <f>'Cash-flow BASE'!R76</f>
        <v>0</v>
      </c>
      <c r="S29" s="402">
        <f>'Cash-flow BASE'!S76</f>
        <v>0</v>
      </c>
      <c r="T29" s="402">
        <f>'Cash-flow BASE'!T76</f>
        <v>0</v>
      </c>
      <c r="U29" s="402">
        <f>'Cash-flow BASE'!U76</f>
        <v>0</v>
      </c>
      <c r="V29" s="402">
        <f>'Cash-flow BASE'!V76</f>
        <v>0</v>
      </c>
      <c r="W29" s="402">
        <f>'Cash-flow BASE'!W76</f>
        <v>0</v>
      </c>
      <c r="X29" s="402">
        <f>'Cash-flow BASE'!X76</f>
        <v>0</v>
      </c>
      <c r="Y29" s="402">
        <f>'Cash-flow BASE'!Y76</f>
        <v>0</v>
      </c>
      <c r="Z29" s="402">
        <f>'Cash-flow BASE'!Z76</f>
        <v>0</v>
      </c>
      <c r="AA29" s="402">
        <f>'Cash-flow BASE'!AA76</f>
        <v>0</v>
      </c>
      <c r="AB29" s="402">
        <f>'Cash-flow BASE'!AB76</f>
        <v>0</v>
      </c>
      <c r="AC29" s="402">
        <f>'Cash-flow BASE'!AC76</f>
        <v>0</v>
      </c>
      <c r="AD29" s="402">
        <f>'Cash-flow BASE'!AD76</f>
        <v>0</v>
      </c>
      <c r="AE29" s="402">
        <f>'Cash-flow BASE'!AE76</f>
        <v>0</v>
      </c>
      <c r="AF29" s="402">
        <f>'Cash-flow BASE'!AF76</f>
        <v>0</v>
      </c>
      <c r="AG29" s="402">
        <f>'Cash-flow BASE'!AG76</f>
        <v>0</v>
      </c>
      <c r="AH29" s="402">
        <f>'Cash-flow BASE'!AH76</f>
        <v>0</v>
      </c>
      <c r="AI29" s="402">
        <f>'Cash-flow BASE'!AI76</f>
        <v>0</v>
      </c>
      <c r="AJ29" s="402">
        <f>'Cash-flow BASE'!AJ76</f>
        <v>0</v>
      </c>
      <c r="AK29" s="402">
        <f>'Cash-flow BASE'!AK76</f>
        <v>0</v>
      </c>
      <c r="AL29" s="402">
        <f>'Cash-flow BASE'!AL76</f>
        <v>0</v>
      </c>
      <c r="AM29" s="402">
        <f>'Cash-flow BASE'!AM76</f>
        <v>0</v>
      </c>
      <c r="AN29" s="402">
        <f>'Cash-flow BASE'!AN76</f>
        <v>0</v>
      </c>
      <c r="AO29" s="402">
        <f>'Cash-flow BASE'!AO76</f>
        <v>0</v>
      </c>
      <c r="AP29" s="402">
        <f>'Cash-flow BASE'!AP76</f>
        <v>0</v>
      </c>
      <c r="AQ29" s="402">
        <f>'Cash-flow BASE'!AQ76</f>
        <v>0</v>
      </c>
      <c r="AR29" s="402">
        <f>'Cash-flow BASE'!AR76</f>
        <v>0</v>
      </c>
      <c r="AS29" s="402">
        <f>'Cash-flow BASE'!AS76</f>
        <v>0</v>
      </c>
      <c r="AT29" s="402">
        <f>'Cash-flow BASE'!AT76</f>
        <v>0</v>
      </c>
      <c r="AU29" s="402">
        <f>'Cash-flow BASE'!AU76</f>
        <v>0</v>
      </c>
      <c r="AV29" s="402">
        <f>'Cash-flow BASE'!AV76</f>
        <v>0</v>
      </c>
      <c r="AW29" s="402">
        <f>'Cash-flow BASE'!AW76</f>
        <v>0</v>
      </c>
      <c r="AX29" s="402">
        <f>'Cash-flow BASE'!AX76</f>
        <v>0</v>
      </c>
      <c r="AY29" s="402">
        <f>'Cash-flow BASE'!AY76</f>
        <v>0</v>
      </c>
      <c r="AZ29" s="402">
        <f>'Cash-flow BASE'!AZ76</f>
        <v>0</v>
      </c>
      <c r="BA29" s="402">
        <f>'Cash-flow BASE'!BA76</f>
        <v>0</v>
      </c>
      <c r="BB29" s="402">
        <f>'Cash-flow BASE'!BB76</f>
        <v>0</v>
      </c>
      <c r="BC29" s="402">
        <f>'Cash-flow BASE'!BC76</f>
        <v>0</v>
      </c>
      <c r="BD29" s="402">
        <f>'Cash-flow BASE'!BD76</f>
        <v>0</v>
      </c>
      <c r="BE29" s="402">
        <f>'Cash-flow BASE'!BE76</f>
        <v>0</v>
      </c>
      <c r="BF29" s="402">
        <f>'Cash-flow BASE'!BF76</f>
        <v>0</v>
      </c>
      <c r="BG29" s="402">
        <f>'Cash-flow BASE'!BG76</f>
        <v>0</v>
      </c>
      <c r="BH29" s="402">
        <f>'Cash-flow BASE'!BH76</f>
        <v>0</v>
      </c>
      <c r="BI29" s="402">
        <f>'Cash-flow BASE'!BI76</f>
        <v>0</v>
      </c>
      <c r="BJ29" s="402">
        <f>'Cash-flow BASE'!BJ76</f>
        <v>0</v>
      </c>
      <c r="BK29" s="402">
        <f>'Cash-flow BASE'!BK76</f>
        <v>0</v>
      </c>
      <c r="BL29" s="402">
        <f>'Cash-flow BASE'!BL76</f>
        <v>0</v>
      </c>
      <c r="BM29" s="402">
        <f>'Cash-flow BASE'!BM76</f>
        <v>0</v>
      </c>
      <c r="BN29" s="402">
        <f>'Cash-flow BASE'!BN76</f>
        <v>0</v>
      </c>
      <c r="BO29" s="402">
        <f>'Cash-flow BASE'!BO76</f>
        <v>0</v>
      </c>
      <c r="BP29" s="402">
        <f>'Cash-flow BASE'!BP76</f>
        <v>0</v>
      </c>
      <c r="BQ29" s="402">
        <f>'Cash-flow BASE'!BQ76</f>
        <v>0</v>
      </c>
      <c r="BR29" s="402">
        <f>'Cash-flow BASE'!BR76</f>
        <v>0</v>
      </c>
      <c r="BS29" s="402">
        <f>'Cash-flow BASE'!BS76</f>
        <v>0</v>
      </c>
      <c r="BT29" s="402">
        <f>'Cash-flow BASE'!BT76</f>
        <v>0</v>
      </c>
      <c r="BU29" s="402">
        <f>'Cash-flow BASE'!BU76</f>
        <v>0</v>
      </c>
      <c r="BV29" s="402">
        <f>'Cash-flow BASE'!BV76</f>
        <v>0</v>
      </c>
      <c r="BW29" s="402">
        <f>'Cash-flow BASE'!BW76</f>
        <v>0</v>
      </c>
      <c r="BX29" s="402">
        <f>'Cash-flow BASE'!BX76</f>
        <v>0</v>
      </c>
      <c r="BY29" s="388"/>
      <c r="BZ29" s="388"/>
      <c r="CA29" s="388"/>
      <c r="CB29" s="388"/>
      <c r="CC29" s="388"/>
      <c r="CD29" s="388"/>
      <c r="CE29" s="388"/>
      <c r="CF29" s="388"/>
      <c r="CG29" s="388"/>
      <c r="CH29" s="388"/>
      <c r="CI29" s="388"/>
      <c r="CJ29" s="257"/>
      <c r="CK29" s="400">
        <f t="shared" si="7"/>
        <v>0</v>
      </c>
      <c r="CL29" s="575"/>
    </row>
    <row r="30" spans="3:90">
      <c r="C30" s="257" t="s">
        <v>251</v>
      </c>
      <c r="D30" s="258" t="s">
        <v>191</v>
      </c>
      <c r="E30" s="402">
        <f>'Cash-flow BASE'!E77</f>
        <v>0</v>
      </c>
      <c r="F30" s="402">
        <f>'Cash-flow BASE'!F77</f>
        <v>0</v>
      </c>
      <c r="G30" s="402">
        <f>'Cash-flow BASE'!G77</f>
        <v>0</v>
      </c>
      <c r="H30" s="402">
        <f>'Cash-flow BASE'!H77</f>
        <v>0</v>
      </c>
      <c r="I30" s="402">
        <f>'Cash-flow BASE'!I77</f>
        <v>0</v>
      </c>
      <c r="J30" s="402">
        <f>'Cash-flow BASE'!J77</f>
        <v>0</v>
      </c>
      <c r="K30" s="402">
        <f>'Cash-flow BASE'!K77</f>
        <v>0</v>
      </c>
      <c r="L30" s="402">
        <f>'Cash-flow BASE'!L77</f>
        <v>0</v>
      </c>
      <c r="M30" s="402">
        <f>'Cash-flow BASE'!M77</f>
        <v>0</v>
      </c>
      <c r="N30" s="402">
        <f>'Cash-flow BASE'!N77</f>
        <v>0</v>
      </c>
      <c r="O30" s="402">
        <f>'Cash-flow BASE'!O77</f>
        <v>0</v>
      </c>
      <c r="P30" s="402">
        <f>'Cash-flow BASE'!P77</f>
        <v>0</v>
      </c>
      <c r="Q30" s="402">
        <f>'Cash-flow BASE'!Q77</f>
        <v>0</v>
      </c>
      <c r="R30" s="402">
        <f>'Cash-flow BASE'!R77</f>
        <v>0</v>
      </c>
      <c r="S30" s="402">
        <f>'Cash-flow BASE'!S77</f>
        <v>0</v>
      </c>
      <c r="T30" s="402">
        <f>'Cash-flow BASE'!T77</f>
        <v>0</v>
      </c>
      <c r="U30" s="402">
        <f>'Cash-flow BASE'!U77</f>
        <v>0</v>
      </c>
      <c r="V30" s="402">
        <f>'Cash-flow BASE'!V77</f>
        <v>0</v>
      </c>
      <c r="W30" s="402">
        <f>'Cash-flow BASE'!W77</f>
        <v>0</v>
      </c>
      <c r="X30" s="402">
        <f>'Cash-flow BASE'!X77</f>
        <v>0</v>
      </c>
      <c r="Y30" s="402">
        <f>'Cash-flow BASE'!Y77</f>
        <v>0</v>
      </c>
      <c r="Z30" s="402">
        <f>'Cash-flow BASE'!Z77</f>
        <v>0</v>
      </c>
      <c r="AA30" s="402">
        <f>'Cash-flow BASE'!AA77</f>
        <v>0</v>
      </c>
      <c r="AB30" s="402">
        <f>'Cash-flow BASE'!AB77</f>
        <v>0</v>
      </c>
      <c r="AC30" s="402">
        <f>'Cash-flow BASE'!AC77</f>
        <v>0</v>
      </c>
      <c r="AD30" s="402">
        <f>'Cash-flow BASE'!AD77</f>
        <v>0</v>
      </c>
      <c r="AE30" s="402">
        <f>'Cash-flow BASE'!AE77</f>
        <v>0</v>
      </c>
      <c r="AF30" s="402">
        <f>'Cash-flow BASE'!AF77</f>
        <v>0</v>
      </c>
      <c r="AG30" s="402">
        <f>'Cash-flow BASE'!AG77</f>
        <v>0</v>
      </c>
      <c r="AH30" s="402">
        <f>'Cash-flow BASE'!AH77</f>
        <v>0</v>
      </c>
      <c r="AI30" s="402">
        <f>'Cash-flow BASE'!AI77</f>
        <v>0</v>
      </c>
      <c r="AJ30" s="402">
        <f>'Cash-flow BASE'!AJ77</f>
        <v>0</v>
      </c>
      <c r="AK30" s="402">
        <f>'Cash-flow BASE'!AK77</f>
        <v>0</v>
      </c>
      <c r="AL30" s="402">
        <f>'Cash-flow BASE'!AL77</f>
        <v>0</v>
      </c>
      <c r="AM30" s="402">
        <f>'Cash-flow BASE'!AM77</f>
        <v>0</v>
      </c>
      <c r="AN30" s="402">
        <f>'Cash-flow BASE'!AN77</f>
        <v>0</v>
      </c>
      <c r="AO30" s="402">
        <f>'Cash-flow BASE'!AO77</f>
        <v>0</v>
      </c>
      <c r="AP30" s="402">
        <f>'Cash-flow BASE'!AP77</f>
        <v>0</v>
      </c>
      <c r="AQ30" s="402">
        <f>'Cash-flow BASE'!AQ77</f>
        <v>0</v>
      </c>
      <c r="AR30" s="402">
        <f>'Cash-flow BASE'!AR77</f>
        <v>0</v>
      </c>
      <c r="AS30" s="402">
        <f>'Cash-flow BASE'!AS77</f>
        <v>0</v>
      </c>
      <c r="AT30" s="402">
        <f>'Cash-flow BASE'!AT77</f>
        <v>0</v>
      </c>
      <c r="AU30" s="402">
        <f>'Cash-flow BASE'!AU77</f>
        <v>0</v>
      </c>
      <c r="AV30" s="402">
        <f>'Cash-flow BASE'!AV77</f>
        <v>0</v>
      </c>
      <c r="AW30" s="402">
        <f>'Cash-flow BASE'!AW77</f>
        <v>0</v>
      </c>
      <c r="AX30" s="402">
        <f>'Cash-flow BASE'!AX77</f>
        <v>0</v>
      </c>
      <c r="AY30" s="402">
        <f>'Cash-flow BASE'!AY77</f>
        <v>0</v>
      </c>
      <c r="AZ30" s="402">
        <f>'Cash-flow BASE'!AZ77</f>
        <v>0</v>
      </c>
      <c r="BA30" s="402">
        <f>'Cash-flow BASE'!BA77</f>
        <v>0</v>
      </c>
      <c r="BB30" s="402">
        <f>'Cash-flow BASE'!BB77</f>
        <v>0</v>
      </c>
      <c r="BC30" s="402">
        <f>'Cash-flow BASE'!BC77</f>
        <v>0</v>
      </c>
      <c r="BD30" s="402">
        <f>'Cash-flow BASE'!BD77</f>
        <v>0</v>
      </c>
      <c r="BE30" s="402">
        <f>'Cash-flow BASE'!BE77</f>
        <v>0</v>
      </c>
      <c r="BF30" s="402">
        <f>'Cash-flow BASE'!BF77</f>
        <v>0</v>
      </c>
      <c r="BG30" s="402">
        <f>'Cash-flow BASE'!BG77</f>
        <v>0</v>
      </c>
      <c r="BH30" s="402">
        <f>'Cash-flow BASE'!BH77</f>
        <v>0</v>
      </c>
      <c r="BI30" s="402">
        <f>'Cash-flow BASE'!BI77</f>
        <v>0</v>
      </c>
      <c r="BJ30" s="402">
        <f>'Cash-flow BASE'!BJ77</f>
        <v>0</v>
      </c>
      <c r="BK30" s="402">
        <f>'Cash-flow BASE'!BK77</f>
        <v>0</v>
      </c>
      <c r="BL30" s="402">
        <f>'Cash-flow BASE'!BL77</f>
        <v>0</v>
      </c>
      <c r="BM30" s="402">
        <f>'Cash-flow BASE'!BM77</f>
        <v>0</v>
      </c>
      <c r="BN30" s="402">
        <f>'Cash-flow BASE'!BN77</f>
        <v>0</v>
      </c>
      <c r="BO30" s="402">
        <f>'Cash-flow BASE'!BO77</f>
        <v>0</v>
      </c>
      <c r="BP30" s="402">
        <f>'Cash-flow BASE'!BP77</f>
        <v>0</v>
      </c>
      <c r="BQ30" s="402">
        <f>'Cash-flow BASE'!BQ77</f>
        <v>0</v>
      </c>
      <c r="BR30" s="402">
        <f>'Cash-flow BASE'!BR77</f>
        <v>0</v>
      </c>
      <c r="BS30" s="402">
        <f>'Cash-flow BASE'!BS77</f>
        <v>0</v>
      </c>
      <c r="BT30" s="402">
        <f>'Cash-flow BASE'!BT77</f>
        <v>0</v>
      </c>
      <c r="BU30" s="402">
        <f>'Cash-flow BASE'!BU77</f>
        <v>0</v>
      </c>
      <c r="BV30" s="402">
        <f>'Cash-flow BASE'!BV77</f>
        <v>0</v>
      </c>
      <c r="BW30" s="402">
        <f>'Cash-flow BASE'!BW77</f>
        <v>0</v>
      </c>
      <c r="BX30" s="402">
        <f>'Cash-flow BASE'!BX77</f>
        <v>0</v>
      </c>
      <c r="BY30" s="388"/>
      <c r="BZ30" s="388"/>
      <c r="CA30" s="388"/>
      <c r="CB30" s="388"/>
      <c r="CC30" s="388"/>
      <c r="CD30" s="388"/>
      <c r="CE30" s="388"/>
      <c r="CF30" s="388"/>
      <c r="CG30" s="388"/>
      <c r="CH30" s="388"/>
      <c r="CI30" s="388"/>
      <c r="CJ30" s="257"/>
      <c r="CK30" s="400">
        <f t="shared" si="7"/>
        <v>0</v>
      </c>
      <c r="CL30" s="575"/>
    </row>
    <row r="31" spans="3:90">
      <c r="C31" s="257" t="s">
        <v>302</v>
      </c>
      <c r="D31" s="258" t="s">
        <v>191</v>
      </c>
      <c r="E31" s="387"/>
      <c r="F31" s="387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387"/>
      <c r="Z31" s="387"/>
      <c r="AA31" s="387"/>
      <c r="AB31" s="387"/>
      <c r="AC31" s="388"/>
      <c r="AD31" s="388"/>
      <c r="AE31" s="388"/>
      <c r="AF31" s="388"/>
      <c r="AG31" s="388"/>
      <c r="AH31" s="388"/>
      <c r="AI31" s="388"/>
      <c r="AJ31" s="388"/>
      <c r="AK31" s="388"/>
      <c r="AL31" s="388"/>
      <c r="AM31" s="388"/>
      <c r="AN31" s="388"/>
      <c r="AO31" s="388"/>
      <c r="AP31" s="388"/>
      <c r="AQ31" s="388"/>
      <c r="AR31" s="388"/>
      <c r="AS31" s="388"/>
      <c r="AT31" s="388"/>
      <c r="AU31" s="388"/>
      <c r="AV31" s="388"/>
      <c r="AW31" s="388"/>
      <c r="AX31" s="388"/>
      <c r="AY31" s="388"/>
      <c r="AZ31" s="388"/>
      <c r="BA31" s="388"/>
      <c r="BB31" s="388"/>
      <c r="BC31" s="388"/>
      <c r="BD31" s="388"/>
      <c r="BE31" s="388"/>
      <c r="BF31" s="388"/>
      <c r="BG31" s="388"/>
      <c r="BH31" s="388"/>
      <c r="BI31" s="388"/>
      <c r="BJ31" s="388"/>
      <c r="BK31" s="388"/>
      <c r="BL31" s="388"/>
      <c r="BM31" s="388"/>
      <c r="BN31" s="388"/>
      <c r="BO31" s="388"/>
      <c r="BP31" s="388"/>
      <c r="BQ31" s="388"/>
      <c r="BR31" s="388"/>
      <c r="BS31" s="388"/>
      <c r="BT31" s="388"/>
      <c r="BU31" s="388"/>
      <c r="BV31" s="388"/>
      <c r="BW31" s="388"/>
      <c r="BX31" s="388"/>
      <c r="BY31" s="388"/>
      <c r="BZ31" s="388"/>
      <c r="CA31" s="388"/>
      <c r="CB31" s="388"/>
      <c r="CC31" s="388"/>
      <c r="CD31" s="388"/>
      <c r="CE31" s="388"/>
      <c r="CF31" s="388"/>
      <c r="CG31" s="388"/>
      <c r="CH31" s="388"/>
      <c r="CI31" s="388"/>
      <c r="CJ31" s="257"/>
      <c r="CK31" s="400">
        <f t="shared" si="7"/>
        <v>0</v>
      </c>
      <c r="CL31" s="575"/>
    </row>
    <row r="32" spans="3:90">
      <c r="C32" s="257" t="s">
        <v>303</v>
      </c>
      <c r="D32" s="258" t="s">
        <v>191</v>
      </c>
      <c r="E32" s="387"/>
      <c r="F32" s="387"/>
      <c r="G32" s="387"/>
      <c r="H32" s="387"/>
      <c r="I32" s="387"/>
      <c r="J32" s="387"/>
      <c r="K32" s="387"/>
      <c r="L32" s="387"/>
      <c r="M32" s="387"/>
      <c r="N32" s="387"/>
      <c r="O32" s="387"/>
      <c r="P32" s="387"/>
      <c r="Q32" s="387"/>
      <c r="R32" s="387"/>
      <c r="S32" s="387"/>
      <c r="T32" s="387"/>
      <c r="U32" s="387"/>
      <c r="V32" s="387"/>
      <c r="W32" s="387"/>
      <c r="X32" s="387"/>
      <c r="Y32" s="387"/>
      <c r="Z32" s="387"/>
      <c r="AA32" s="387"/>
      <c r="AB32" s="387"/>
      <c r="AC32" s="388"/>
      <c r="AD32" s="388"/>
      <c r="AE32" s="388"/>
      <c r="AF32" s="388"/>
      <c r="AG32" s="388"/>
      <c r="AH32" s="388"/>
      <c r="AI32" s="388"/>
      <c r="AJ32" s="388"/>
      <c r="AK32" s="388"/>
      <c r="AL32" s="388"/>
      <c r="AM32" s="388"/>
      <c r="AN32" s="388"/>
      <c r="AO32" s="388"/>
      <c r="AP32" s="388"/>
      <c r="AQ32" s="388"/>
      <c r="AR32" s="388"/>
      <c r="AS32" s="388"/>
      <c r="AT32" s="388"/>
      <c r="AU32" s="388"/>
      <c r="AV32" s="388"/>
      <c r="AW32" s="388"/>
      <c r="AX32" s="388"/>
      <c r="AY32" s="388"/>
      <c r="AZ32" s="388"/>
      <c r="BA32" s="388"/>
      <c r="BB32" s="388"/>
      <c r="BC32" s="388"/>
      <c r="BD32" s="388"/>
      <c r="BE32" s="388"/>
      <c r="BF32" s="388"/>
      <c r="BG32" s="388"/>
      <c r="BH32" s="388"/>
      <c r="BI32" s="388"/>
      <c r="BJ32" s="388"/>
      <c r="BK32" s="388"/>
      <c r="BL32" s="388"/>
      <c r="BM32" s="388"/>
      <c r="BN32" s="388"/>
      <c r="BO32" s="388"/>
      <c r="BP32" s="388"/>
      <c r="BQ32" s="388"/>
      <c r="BR32" s="388"/>
      <c r="BS32" s="388"/>
      <c r="BT32" s="388"/>
      <c r="BU32" s="388"/>
      <c r="BV32" s="388"/>
      <c r="BW32" s="388"/>
      <c r="BX32" s="388"/>
      <c r="BY32" s="388"/>
      <c r="BZ32" s="388"/>
      <c r="CA32" s="388"/>
      <c r="CB32" s="388"/>
      <c r="CC32" s="388"/>
      <c r="CD32" s="388"/>
      <c r="CE32" s="388"/>
      <c r="CF32" s="388"/>
      <c r="CG32" s="388"/>
      <c r="CH32" s="388"/>
      <c r="CI32" s="388"/>
      <c r="CJ32" s="257"/>
      <c r="CK32" s="400">
        <f t="shared" si="7"/>
        <v>0</v>
      </c>
      <c r="CL32" s="575"/>
    </row>
    <row r="33" spans="2:90">
      <c r="B33" s="385"/>
      <c r="C33" s="257" t="s">
        <v>304</v>
      </c>
      <c r="D33" s="258" t="s">
        <v>191</v>
      </c>
      <c r="E33" s="387"/>
      <c r="F33" s="387"/>
      <c r="G33" s="387"/>
      <c r="H33" s="387"/>
      <c r="I33" s="387"/>
      <c r="J33" s="387"/>
      <c r="K33" s="387"/>
      <c r="L33" s="387"/>
      <c r="M33" s="387"/>
      <c r="N33" s="387"/>
      <c r="O33" s="387"/>
      <c r="P33" s="387"/>
      <c r="Q33" s="387"/>
      <c r="R33" s="387"/>
      <c r="S33" s="387"/>
      <c r="T33" s="387"/>
      <c r="U33" s="387"/>
      <c r="V33" s="387"/>
      <c r="W33" s="387"/>
      <c r="X33" s="387"/>
      <c r="Y33" s="387"/>
      <c r="Z33" s="387"/>
      <c r="AA33" s="387"/>
      <c r="AB33" s="387"/>
      <c r="AC33" s="388"/>
      <c r="AD33" s="388"/>
      <c r="AE33" s="388"/>
      <c r="AF33" s="388"/>
      <c r="AG33" s="388"/>
      <c r="AH33" s="388"/>
      <c r="AI33" s="388"/>
      <c r="AJ33" s="388"/>
      <c r="AK33" s="388"/>
      <c r="AL33" s="388"/>
      <c r="AM33" s="388"/>
      <c r="AN33" s="388"/>
      <c r="AO33" s="388"/>
      <c r="AP33" s="388"/>
      <c r="AQ33" s="388"/>
      <c r="AR33" s="388"/>
      <c r="AS33" s="388"/>
      <c r="AT33" s="388"/>
      <c r="AU33" s="388"/>
      <c r="AV33" s="388"/>
      <c r="AW33" s="388"/>
      <c r="AX33" s="388"/>
      <c r="AY33" s="388"/>
      <c r="AZ33" s="388"/>
      <c r="BA33" s="388"/>
      <c r="BB33" s="388"/>
      <c r="BC33" s="388"/>
      <c r="BD33" s="388"/>
      <c r="BE33" s="388"/>
      <c r="BF33" s="388"/>
      <c r="BG33" s="388"/>
      <c r="BH33" s="388"/>
      <c r="BI33" s="388"/>
      <c r="BJ33" s="388"/>
      <c r="BK33" s="388"/>
      <c r="BL33" s="388"/>
      <c r="BM33" s="388"/>
      <c r="BN33" s="388"/>
      <c r="BO33" s="388"/>
      <c r="BP33" s="388"/>
      <c r="BQ33" s="388"/>
      <c r="BR33" s="388"/>
      <c r="BS33" s="388"/>
      <c r="BT33" s="388"/>
      <c r="BU33" s="388"/>
      <c r="BV33" s="388"/>
      <c r="BW33" s="388"/>
      <c r="BX33" s="388"/>
      <c r="BY33" s="388"/>
      <c r="BZ33" s="388"/>
      <c r="CA33" s="388"/>
      <c r="CB33" s="388"/>
      <c r="CC33" s="388"/>
      <c r="CD33" s="388"/>
      <c r="CE33" s="388"/>
      <c r="CF33" s="388"/>
      <c r="CG33" s="388"/>
      <c r="CH33" s="388"/>
      <c r="CI33" s="388"/>
      <c r="CJ33" s="257"/>
      <c r="CK33" s="400">
        <f t="shared" si="7"/>
        <v>0</v>
      </c>
      <c r="CL33" s="575"/>
    </row>
    <row r="34" spans="2:90">
      <c r="B34" s="390"/>
      <c r="C34" s="391" t="s">
        <v>305</v>
      </c>
      <c r="D34" s="404" t="s">
        <v>191</v>
      </c>
      <c r="E34" s="405"/>
      <c r="F34" s="405"/>
      <c r="G34" s="405"/>
      <c r="H34" s="405"/>
      <c r="I34" s="405"/>
      <c r="J34" s="405"/>
      <c r="K34" s="405"/>
      <c r="L34" s="405"/>
      <c r="M34" s="405"/>
      <c r="N34" s="405"/>
      <c r="O34" s="405"/>
      <c r="P34" s="405"/>
      <c r="Q34" s="405"/>
      <c r="R34" s="405"/>
      <c r="S34" s="405"/>
      <c r="T34" s="405"/>
      <c r="U34" s="405"/>
      <c r="V34" s="405"/>
      <c r="W34" s="405"/>
      <c r="X34" s="405"/>
      <c r="Y34" s="405"/>
      <c r="Z34" s="405"/>
      <c r="AA34" s="405"/>
      <c r="AB34" s="405"/>
      <c r="AC34" s="394"/>
      <c r="AD34" s="394"/>
      <c r="AE34" s="394"/>
      <c r="AF34" s="394"/>
      <c r="AG34" s="394"/>
      <c r="AH34" s="394"/>
      <c r="AI34" s="394"/>
      <c r="AJ34" s="394"/>
      <c r="AK34" s="394"/>
      <c r="AL34" s="394"/>
      <c r="AM34" s="394"/>
      <c r="AN34" s="394"/>
      <c r="AO34" s="394"/>
      <c r="AP34" s="394"/>
      <c r="AQ34" s="394"/>
      <c r="AR34" s="394"/>
      <c r="AS34" s="394"/>
      <c r="AT34" s="394"/>
      <c r="AU34" s="394"/>
      <c r="AV34" s="394"/>
      <c r="AW34" s="394"/>
      <c r="AX34" s="394"/>
      <c r="AY34" s="394"/>
      <c r="AZ34" s="394"/>
      <c r="BA34" s="394"/>
      <c r="BB34" s="394"/>
      <c r="BC34" s="394"/>
      <c r="BD34" s="394"/>
      <c r="BE34" s="394"/>
      <c r="BF34" s="394"/>
      <c r="BG34" s="394"/>
      <c r="BH34" s="394"/>
      <c r="BI34" s="394"/>
      <c r="BJ34" s="394"/>
      <c r="BK34" s="394"/>
      <c r="BL34" s="394"/>
      <c r="BM34" s="394"/>
      <c r="BN34" s="394"/>
      <c r="BO34" s="394"/>
      <c r="BP34" s="394"/>
      <c r="BQ34" s="394"/>
      <c r="BR34" s="394"/>
      <c r="BS34" s="394"/>
      <c r="BT34" s="394"/>
      <c r="BU34" s="394"/>
      <c r="BV34" s="394"/>
      <c r="BW34" s="394"/>
      <c r="BX34" s="394"/>
      <c r="BY34" s="394"/>
      <c r="BZ34" s="394"/>
      <c r="CA34" s="394"/>
      <c r="CB34" s="394"/>
      <c r="CC34" s="394"/>
      <c r="CD34" s="394"/>
      <c r="CE34" s="394"/>
      <c r="CF34" s="394"/>
      <c r="CG34" s="394"/>
      <c r="CH34" s="394"/>
      <c r="CI34" s="394"/>
      <c r="CJ34" s="391"/>
      <c r="CK34" s="395">
        <f t="shared" si="7"/>
        <v>0</v>
      </c>
      <c r="CL34" s="579"/>
    </row>
    <row r="37" spans="2:90" ht="15.95">
      <c r="B37" s="553" t="s">
        <v>306</v>
      </c>
      <c r="C37" s="563"/>
      <c r="D37" s="406"/>
      <c r="E37" s="407">
        <f t="shared" ref="E37:BW37" si="12">SUM(E3:E11)+SUM(E14:E21)+SUM(E24:E34)</f>
        <v>0</v>
      </c>
      <c r="F37" s="407">
        <f t="shared" si="12"/>
        <v>0</v>
      </c>
      <c r="G37" s="407">
        <f t="shared" si="12"/>
        <v>0</v>
      </c>
      <c r="H37" s="407">
        <f t="shared" si="12"/>
        <v>0</v>
      </c>
      <c r="I37" s="407">
        <f t="shared" si="12"/>
        <v>87324</v>
      </c>
      <c r="J37" s="407">
        <f t="shared" si="12"/>
        <v>100000</v>
      </c>
      <c r="K37" s="407">
        <f t="shared" si="12"/>
        <v>-3400000</v>
      </c>
      <c r="L37" s="407">
        <f t="shared" si="12"/>
        <v>5024500</v>
      </c>
      <c r="M37" s="407">
        <f t="shared" si="12"/>
        <v>1000</v>
      </c>
      <c r="N37" s="407">
        <f t="shared" si="12"/>
        <v>80000</v>
      </c>
      <c r="O37" s="407">
        <f t="shared" si="12"/>
        <v>4762000</v>
      </c>
      <c r="P37" s="407">
        <f t="shared" si="12"/>
        <v>2173648</v>
      </c>
      <c r="Q37" s="407">
        <f t="shared" si="12"/>
        <v>0</v>
      </c>
      <c r="R37" s="407">
        <f t="shared" si="12"/>
        <v>0</v>
      </c>
      <c r="S37" s="407">
        <f t="shared" si="12"/>
        <v>840000</v>
      </c>
      <c r="T37" s="407">
        <f t="shared" si="12"/>
        <v>0</v>
      </c>
      <c r="U37" s="407">
        <f t="shared" si="12"/>
        <v>3900000</v>
      </c>
      <c r="V37" s="407">
        <f t="shared" si="12"/>
        <v>0</v>
      </c>
      <c r="W37" s="407">
        <f t="shared" si="12"/>
        <v>0</v>
      </c>
      <c r="X37" s="407">
        <f t="shared" si="12"/>
        <v>0</v>
      </c>
      <c r="Y37" s="407">
        <f t="shared" si="12"/>
        <v>1500000</v>
      </c>
      <c r="Z37" s="407">
        <f t="shared" si="12"/>
        <v>10500000</v>
      </c>
      <c r="AA37" s="407">
        <f t="shared" si="12"/>
        <v>12000000</v>
      </c>
      <c r="AB37" s="407">
        <f t="shared" si="12"/>
        <v>10500000</v>
      </c>
      <c r="AC37" s="407">
        <f t="shared" si="12"/>
        <v>0</v>
      </c>
      <c r="AD37" s="407">
        <f t="shared" si="12"/>
        <v>0</v>
      </c>
      <c r="AE37" s="407">
        <f t="shared" si="12"/>
        <v>0</v>
      </c>
      <c r="AF37" s="407">
        <f t="shared" si="12"/>
        <v>0</v>
      </c>
      <c r="AG37" s="407">
        <f t="shared" si="12"/>
        <v>0</v>
      </c>
      <c r="AH37" s="407">
        <f t="shared" si="12"/>
        <v>0</v>
      </c>
      <c r="AI37" s="407">
        <f t="shared" si="12"/>
        <v>-49829285.523333333</v>
      </c>
      <c r="AJ37" s="407">
        <f t="shared" si="12"/>
        <v>0</v>
      </c>
      <c r="AK37" s="407">
        <f t="shared" si="12"/>
        <v>0</v>
      </c>
      <c r="AL37" s="407">
        <f t="shared" si="12"/>
        <v>0</v>
      </c>
      <c r="AM37" s="407">
        <f t="shared" si="12"/>
        <v>0</v>
      </c>
      <c r="AN37" s="407">
        <f t="shared" si="12"/>
        <v>0</v>
      </c>
      <c r="AO37" s="407">
        <f t="shared" si="12"/>
        <v>0</v>
      </c>
      <c r="AP37" s="407">
        <f t="shared" si="12"/>
        <v>0</v>
      </c>
      <c r="AQ37" s="407">
        <f t="shared" si="12"/>
        <v>0</v>
      </c>
      <c r="AR37" s="407">
        <f t="shared" si="12"/>
        <v>0</v>
      </c>
      <c r="AS37" s="407">
        <f t="shared" si="12"/>
        <v>0</v>
      </c>
      <c r="AT37" s="407">
        <f t="shared" si="12"/>
        <v>0</v>
      </c>
      <c r="AU37" s="407">
        <f t="shared" si="12"/>
        <v>0</v>
      </c>
      <c r="AV37" s="407">
        <f t="shared" si="12"/>
        <v>0</v>
      </c>
      <c r="AW37" s="407">
        <f t="shared" si="12"/>
        <v>0</v>
      </c>
      <c r="AX37" s="407">
        <f t="shared" si="12"/>
        <v>0</v>
      </c>
      <c r="AY37" s="407">
        <f t="shared" si="12"/>
        <v>0</v>
      </c>
      <c r="AZ37" s="407">
        <f t="shared" si="12"/>
        <v>0</v>
      </c>
      <c r="BA37" s="407">
        <f t="shared" si="12"/>
        <v>0</v>
      </c>
      <c r="BB37" s="407">
        <f t="shared" si="12"/>
        <v>0</v>
      </c>
      <c r="BC37" s="407">
        <f t="shared" si="12"/>
        <v>0</v>
      </c>
      <c r="BD37" s="407">
        <f t="shared" si="12"/>
        <v>0</v>
      </c>
      <c r="BE37" s="407">
        <f t="shared" si="12"/>
        <v>0</v>
      </c>
      <c r="BF37" s="407">
        <f t="shared" si="12"/>
        <v>0</v>
      </c>
      <c r="BG37" s="407">
        <f t="shared" si="12"/>
        <v>0</v>
      </c>
      <c r="BH37" s="407">
        <f t="shared" si="12"/>
        <v>0</v>
      </c>
      <c r="BI37" s="407">
        <f t="shared" si="12"/>
        <v>0</v>
      </c>
      <c r="BJ37" s="407">
        <f t="shared" si="12"/>
        <v>0</v>
      </c>
      <c r="BK37" s="407">
        <f t="shared" si="12"/>
        <v>0</v>
      </c>
      <c r="BL37" s="407">
        <f t="shared" si="12"/>
        <v>0</v>
      </c>
      <c r="BM37" s="407">
        <f t="shared" si="12"/>
        <v>0</v>
      </c>
      <c r="BN37" s="407">
        <f t="shared" si="12"/>
        <v>0</v>
      </c>
      <c r="BO37" s="407">
        <f t="shared" si="12"/>
        <v>0</v>
      </c>
      <c r="BP37" s="407">
        <f t="shared" si="12"/>
        <v>0</v>
      </c>
      <c r="BQ37" s="407">
        <f t="shared" si="12"/>
        <v>0</v>
      </c>
      <c r="BR37" s="407">
        <f t="shared" si="12"/>
        <v>0</v>
      </c>
      <c r="BS37" s="407">
        <f t="shared" si="12"/>
        <v>0</v>
      </c>
      <c r="BT37" s="407">
        <f t="shared" si="12"/>
        <v>0</v>
      </c>
      <c r="BU37" s="407">
        <f t="shared" si="12"/>
        <v>0</v>
      </c>
      <c r="BV37" s="407">
        <f t="shared" si="12"/>
        <v>0</v>
      </c>
      <c r="BW37" s="407">
        <f t="shared" si="12"/>
        <v>0</v>
      </c>
      <c r="BX37" s="407">
        <f>SUM(BX3:BX11)-SUM(BX14:BX21)+SUM(BX24:BX34)</f>
        <v>0</v>
      </c>
      <c r="BY37" s="407">
        <f t="shared" ref="BY37:CJ37" si="13">SUM(BY3:BY11)+SUM(BY14:BY21)+SUM(BY24:BY34)</f>
        <v>0</v>
      </c>
      <c r="BZ37" s="407">
        <f t="shared" si="13"/>
        <v>0</v>
      </c>
      <c r="CA37" s="407">
        <f t="shared" si="13"/>
        <v>0</v>
      </c>
      <c r="CB37" s="407">
        <f t="shared" si="13"/>
        <v>0</v>
      </c>
      <c r="CC37" s="407">
        <f t="shared" si="13"/>
        <v>0</v>
      </c>
      <c r="CD37" s="407">
        <f t="shared" si="13"/>
        <v>0</v>
      </c>
      <c r="CE37" s="407">
        <f t="shared" si="13"/>
        <v>0</v>
      </c>
      <c r="CF37" s="407">
        <f t="shared" si="13"/>
        <v>0</v>
      </c>
      <c r="CG37" s="407">
        <f t="shared" si="13"/>
        <v>0</v>
      </c>
      <c r="CH37" s="407">
        <f t="shared" si="13"/>
        <v>0</v>
      </c>
      <c r="CI37" s="407">
        <f t="shared" si="13"/>
        <v>0</v>
      </c>
      <c r="CJ37" s="408">
        <f t="shared" si="13"/>
        <v>0</v>
      </c>
    </row>
    <row r="38" spans="2:90" ht="14.1">
      <c r="E38" s="409"/>
      <c r="F38" s="409"/>
      <c r="G38" s="409"/>
      <c r="H38" s="409"/>
      <c r="I38" s="409"/>
      <c r="J38" s="409"/>
      <c r="K38" s="409"/>
      <c r="L38" s="409"/>
      <c r="M38" s="409"/>
      <c r="N38" s="409"/>
      <c r="O38" s="409"/>
      <c r="P38" s="409"/>
      <c r="Q38" s="409"/>
      <c r="R38" s="409"/>
      <c r="S38" s="409"/>
      <c r="T38" s="409"/>
      <c r="U38" s="409"/>
      <c r="V38" s="409"/>
      <c r="W38" s="409"/>
      <c r="X38" s="409"/>
      <c r="Y38" s="409"/>
      <c r="Z38" s="409"/>
      <c r="AA38" s="409"/>
      <c r="AB38" s="409"/>
      <c r="AC38" s="409"/>
      <c r="AD38" s="409"/>
      <c r="AE38" s="409"/>
      <c r="AF38" s="409"/>
      <c r="AG38" s="409"/>
      <c r="AH38" s="409"/>
      <c r="AI38" s="409"/>
      <c r="AJ38" s="409"/>
      <c r="AK38" s="409"/>
      <c r="AL38" s="409"/>
      <c r="AM38" s="409"/>
      <c r="AN38" s="409"/>
      <c r="AO38" s="409"/>
      <c r="AP38" s="409"/>
      <c r="AQ38" s="409"/>
      <c r="AR38" s="409"/>
      <c r="AS38" s="409"/>
      <c r="AT38" s="409"/>
      <c r="AU38" s="409"/>
      <c r="AV38" s="409"/>
      <c r="AW38" s="409"/>
      <c r="AX38" s="409"/>
      <c r="AY38" s="409"/>
      <c r="AZ38" s="409"/>
      <c r="BA38" s="409"/>
      <c r="BB38" s="409"/>
      <c r="BC38" s="409"/>
      <c r="BD38" s="409"/>
      <c r="BE38" s="409"/>
      <c r="BF38" s="409"/>
      <c r="BG38" s="409"/>
      <c r="BH38" s="409"/>
      <c r="BI38" s="409"/>
      <c r="BJ38" s="409"/>
      <c r="BK38" s="409"/>
      <c r="BL38" s="409"/>
      <c r="BM38" s="409"/>
      <c r="BN38" s="409"/>
      <c r="BO38" s="409"/>
      <c r="BP38" s="409"/>
      <c r="BQ38" s="409"/>
      <c r="BR38" s="409"/>
      <c r="BS38" s="409"/>
      <c r="BT38" s="409"/>
      <c r="BU38" s="409"/>
      <c r="BV38" s="409"/>
      <c r="BW38" s="409"/>
      <c r="BX38" s="409"/>
      <c r="BY38" s="409"/>
      <c r="BZ38" s="409"/>
      <c r="CA38" s="409"/>
      <c r="CB38" s="409"/>
      <c r="CC38" s="409"/>
      <c r="CD38" s="409"/>
      <c r="CE38" s="409"/>
      <c r="CF38" s="409"/>
      <c r="CG38" s="409"/>
      <c r="CH38" s="409"/>
      <c r="CI38" s="409"/>
      <c r="CJ38" s="409"/>
    </row>
    <row r="39" spans="2:90" ht="22.5" customHeight="1">
      <c r="B39" s="554" t="s">
        <v>307</v>
      </c>
      <c r="C39" s="563"/>
      <c r="D39" s="410"/>
      <c r="E39" s="411">
        <f>E37</f>
        <v>0</v>
      </c>
      <c r="F39" s="411">
        <f t="shared" ref="F39:CJ39" si="14">E39+F37</f>
        <v>0</v>
      </c>
      <c r="G39" s="411">
        <f t="shared" si="14"/>
        <v>0</v>
      </c>
      <c r="H39" s="411">
        <f t="shared" si="14"/>
        <v>0</v>
      </c>
      <c r="I39" s="411">
        <f t="shared" si="14"/>
        <v>87324</v>
      </c>
      <c r="J39" s="411">
        <f t="shared" si="14"/>
        <v>187324</v>
      </c>
      <c r="K39" s="411">
        <f t="shared" si="14"/>
        <v>-3212676</v>
      </c>
      <c r="L39" s="411">
        <f t="shared" si="14"/>
        <v>1811824</v>
      </c>
      <c r="M39" s="411">
        <f t="shared" si="14"/>
        <v>1812824</v>
      </c>
      <c r="N39" s="411">
        <f t="shared" si="14"/>
        <v>1892824</v>
      </c>
      <c r="O39" s="411">
        <f t="shared" si="14"/>
        <v>6654824</v>
      </c>
      <c r="P39" s="411">
        <f t="shared" si="14"/>
        <v>8828472</v>
      </c>
      <c r="Q39" s="411">
        <f t="shared" si="14"/>
        <v>8828472</v>
      </c>
      <c r="R39" s="411">
        <f t="shared" si="14"/>
        <v>8828472</v>
      </c>
      <c r="S39" s="411">
        <f t="shared" si="14"/>
        <v>9668472</v>
      </c>
      <c r="T39" s="411">
        <f t="shared" si="14"/>
        <v>9668472</v>
      </c>
      <c r="U39" s="411">
        <f t="shared" si="14"/>
        <v>13568472</v>
      </c>
      <c r="V39" s="411">
        <f t="shared" si="14"/>
        <v>13568472</v>
      </c>
      <c r="W39" s="411">
        <f t="shared" si="14"/>
        <v>13568472</v>
      </c>
      <c r="X39" s="411">
        <f t="shared" si="14"/>
        <v>13568472</v>
      </c>
      <c r="Y39" s="411">
        <f t="shared" si="14"/>
        <v>15068472</v>
      </c>
      <c r="Z39" s="411">
        <f t="shared" si="14"/>
        <v>25568472</v>
      </c>
      <c r="AA39" s="411">
        <f t="shared" si="14"/>
        <v>37568472</v>
      </c>
      <c r="AB39" s="411">
        <f t="shared" si="14"/>
        <v>48068472</v>
      </c>
      <c r="AC39" s="411">
        <f t="shared" si="14"/>
        <v>48068472</v>
      </c>
      <c r="AD39" s="411">
        <f t="shared" si="14"/>
        <v>48068472</v>
      </c>
      <c r="AE39" s="411">
        <f t="shared" si="14"/>
        <v>48068472</v>
      </c>
      <c r="AF39" s="411">
        <f t="shared" si="14"/>
        <v>48068472</v>
      </c>
      <c r="AG39" s="411">
        <f t="shared" si="14"/>
        <v>48068472</v>
      </c>
      <c r="AH39" s="411">
        <f t="shared" si="14"/>
        <v>48068472</v>
      </c>
      <c r="AI39" s="411">
        <f t="shared" si="14"/>
        <v>-1760813.5233333334</v>
      </c>
      <c r="AJ39" s="411">
        <f t="shared" si="14"/>
        <v>-1760813.5233333334</v>
      </c>
      <c r="AK39" s="411">
        <f t="shared" si="14"/>
        <v>-1760813.5233333334</v>
      </c>
      <c r="AL39" s="411">
        <f t="shared" si="14"/>
        <v>-1760813.5233333334</v>
      </c>
      <c r="AM39" s="411">
        <f t="shared" si="14"/>
        <v>-1760813.5233333334</v>
      </c>
      <c r="AN39" s="411">
        <f t="shared" si="14"/>
        <v>-1760813.5233333334</v>
      </c>
      <c r="AO39" s="411">
        <f t="shared" si="14"/>
        <v>-1760813.5233333334</v>
      </c>
      <c r="AP39" s="411">
        <f t="shared" si="14"/>
        <v>-1760813.5233333334</v>
      </c>
      <c r="AQ39" s="411">
        <f t="shared" si="14"/>
        <v>-1760813.5233333334</v>
      </c>
      <c r="AR39" s="411">
        <f t="shared" si="14"/>
        <v>-1760813.5233333334</v>
      </c>
      <c r="AS39" s="411">
        <f t="shared" si="14"/>
        <v>-1760813.5233333334</v>
      </c>
      <c r="AT39" s="411">
        <f t="shared" si="14"/>
        <v>-1760813.5233333334</v>
      </c>
      <c r="AU39" s="411">
        <f t="shared" si="14"/>
        <v>-1760813.5233333334</v>
      </c>
      <c r="AV39" s="411">
        <f t="shared" si="14"/>
        <v>-1760813.5233333334</v>
      </c>
      <c r="AW39" s="411">
        <f t="shared" si="14"/>
        <v>-1760813.5233333334</v>
      </c>
      <c r="AX39" s="411">
        <f t="shared" si="14"/>
        <v>-1760813.5233333334</v>
      </c>
      <c r="AY39" s="411">
        <f t="shared" si="14"/>
        <v>-1760813.5233333334</v>
      </c>
      <c r="AZ39" s="411">
        <f t="shared" si="14"/>
        <v>-1760813.5233333334</v>
      </c>
      <c r="BA39" s="411">
        <f t="shared" si="14"/>
        <v>-1760813.5233333334</v>
      </c>
      <c r="BB39" s="411">
        <f t="shared" si="14"/>
        <v>-1760813.5233333334</v>
      </c>
      <c r="BC39" s="411">
        <f t="shared" si="14"/>
        <v>-1760813.5233333334</v>
      </c>
      <c r="BD39" s="411">
        <f t="shared" si="14"/>
        <v>-1760813.5233333334</v>
      </c>
      <c r="BE39" s="411">
        <f t="shared" si="14"/>
        <v>-1760813.5233333334</v>
      </c>
      <c r="BF39" s="411">
        <f t="shared" si="14"/>
        <v>-1760813.5233333334</v>
      </c>
      <c r="BG39" s="411">
        <f t="shared" si="14"/>
        <v>-1760813.5233333334</v>
      </c>
      <c r="BH39" s="411">
        <f t="shared" si="14"/>
        <v>-1760813.5233333334</v>
      </c>
      <c r="BI39" s="411">
        <f t="shared" si="14"/>
        <v>-1760813.5233333334</v>
      </c>
      <c r="BJ39" s="411">
        <f t="shared" si="14"/>
        <v>-1760813.5233333334</v>
      </c>
      <c r="BK39" s="411">
        <f t="shared" si="14"/>
        <v>-1760813.5233333334</v>
      </c>
      <c r="BL39" s="411">
        <f t="shared" si="14"/>
        <v>-1760813.5233333334</v>
      </c>
      <c r="BM39" s="411">
        <f t="shared" si="14"/>
        <v>-1760813.5233333334</v>
      </c>
      <c r="BN39" s="411">
        <f t="shared" si="14"/>
        <v>-1760813.5233333334</v>
      </c>
      <c r="BO39" s="411">
        <f t="shared" si="14"/>
        <v>-1760813.5233333334</v>
      </c>
      <c r="BP39" s="411">
        <f t="shared" si="14"/>
        <v>-1760813.5233333334</v>
      </c>
      <c r="BQ39" s="411">
        <f t="shared" si="14"/>
        <v>-1760813.5233333334</v>
      </c>
      <c r="BR39" s="411">
        <f t="shared" si="14"/>
        <v>-1760813.5233333334</v>
      </c>
      <c r="BS39" s="411">
        <f t="shared" si="14"/>
        <v>-1760813.5233333334</v>
      </c>
      <c r="BT39" s="411">
        <f t="shared" si="14"/>
        <v>-1760813.5233333334</v>
      </c>
      <c r="BU39" s="411">
        <f t="shared" si="14"/>
        <v>-1760813.5233333334</v>
      </c>
      <c r="BV39" s="411">
        <f t="shared" si="14"/>
        <v>-1760813.5233333334</v>
      </c>
      <c r="BW39" s="411">
        <f t="shared" si="14"/>
        <v>-1760813.5233333334</v>
      </c>
      <c r="BX39" s="411">
        <f t="shared" si="14"/>
        <v>-1760813.5233333334</v>
      </c>
      <c r="BY39" s="411">
        <f t="shared" si="14"/>
        <v>-1760813.5233333334</v>
      </c>
      <c r="BZ39" s="411">
        <f t="shared" si="14"/>
        <v>-1760813.5233333334</v>
      </c>
      <c r="CA39" s="411">
        <f t="shared" si="14"/>
        <v>-1760813.5233333334</v>
      </c>
      <c r="CB39" s="411">
        <f t="shared" si="14"/>
        <v>-1760813.5233333334</v>
      </c>
      <c r="CC39" s="411">
        <f t="shared" si="14"/>
        <v>-1760813.5233333334</v>
      </c>
      <c r="CD39" s="411">
        <f t="shared" si="14"/>
        <v>-1760813.5233333334</v>
      </c>
      <c r="CE39" s="411">
        <f t="shared" si="14"/>
        <v>-1760813.5233333334</v>
      </c>
      <c r="CF39" s="411">
        <f t="shared" si="14"/>
        <v>-1760813.5233333334</v>
      </c>
      <c r="CG39" s="411">
        <f t="shared" si="14"/>
        <v>-1760813.5233333334</v>
      </c>
      <c r="CH39" s="411">
        <f t="shared" si="14"/>
        <v>-1760813.5233333334</v>
      </c>
      <c r="CI39" s="411">
        <f t="shared" si="14"/>
        <v>-1760813.5233333334</v>
      </c>
      <c r="CJ39" s="411">
        <f t="shared" si="14"/>
        <v>-1760813.5233333334</v>
      </c>
    </row>
    <row r="42" spans="2:90" hidden="1"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  <c r="AB42" s="229"/>
      <c r="AC42" s="229"/>
      <c r="AD42" s="229"/>
      <c r="AE42" s="229"/>
      <c r="AF42" s="229"/>
      <c r="AG42" s="229"/>
      <c r="AH42" s="229"/>
      <c r="AI42" s="229"/>
      <c r="AJ42" s="229"/>
      <c r="AK42" s="229"/>
      <c r="AL42" s="229"/>
      <c r="AM42" s="229"/>
      <c r="AN42" s="229"/>
      <c r="AO42" s="229"/>
      <c r="AP42" s="229"/>
      <c r="AQ42" s="229"/>
      <c r="AR42" s="229"/>
      <c r="AS42" s="229"/>
      <c r="AT42" s="229"/>
      <c r="AU42" s="229"/>
      <c r="AV42" s="229"/>
      <c r="AW42" s="229"/>
      <c r="AX42" s="229"/>
      <c r="AY42" s="229"/>
      <c r="AZ42" s="229"/>
      <c r="BA42" s="229"/>
      <c r="BB42" s="229"/>
      <c r="BC42" s="229"/>
      <c r="BD42" s="229"/>
      <c r="BE42" s="229"/>
      <c r="BF42" s="229"/>
      <c r="BG42" s="229"/>
      <c r="BH42" s="229"/>
      <c r="BI42" s="229"/>
      <c r="BJ42" s="229"/>
      <c r="BK42" s="229"/>
      <c r="BL42" s="229"/>
      <c r="BM42" s="229"/>
      <c r="BN42" s="229"/>
      <c r="BO42" s="229"/>
      <c r="BP42" s="229"/>
      <c r="BQ42" s="229"/>
      <c r="BR42" s="229"/>
      <c r="BS42" s="229"/>
      <c r="BT42" s="229"/>
      <c r="BU42" s="229"/>
      <c r="BV42" s="229"/>
      <c r="BW42" s="229"/>
      <c r="BX42" s="229"/>
      <c r="BY42" s="305"/>
      <c r="BZ42" s="229"/>
      <c r="CA42" s="229"/>
      <c r="CB42" s="229"/>
      <c r="CC42" s="229"/>
      <c r="CD42" s="229"/>
      <c r="CE42" s="229"/>
      <c r="CF42" s="229"/>
      <c r="CG42" s="229"/>
      <c r="CH42" s="229"/>
      <c r="CI42" s="229"/>
      <c r="CJ42" s="229"/>
      <c r="CK42" s="229"/>
      <c r="CL42" s="229"/>
    </row>
    <row r="43" spans="2:90" hidden="1">
      <c r="B43" s="229"/>
      <c r="C43" s="315"/>
      <c r="D43" s="315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5"/>
      <c r="AZ43" s="315"/>
      <c r="BA43" s="315"/>
      <c r="BB43" s="315"/>
      <c r="BC43" s="315"/>
      <c r="BD43" s="315"/>
      <c r="BE43" s="315"/>
      <c r="BF43" s="315"/>
      <c r="BG43" s="315"/>
      <c r="BH43" s="315"/>
      <c r="BI43" s="315"/>
      <c r="BJ43" s="315"/>
      <c r="BK43" s="315"/>
      <c r="BL43" s="315"/>
      <c r="BM43" s="229"/>
      <c r="BN43" s="229"/>
      <c r="BO43" s="229"/>
      <c r="BP43" s="229"/>
      <c r="BQ43" s="229"/>
      <c r="BR43" s="229"/>
      <c r="BS43" s="229"/>
      <c r="BT43" s="229"/>
      <c r="BU43" s="229"/>
      <c r="BV43" s="229"/>
      <c r="BW43" s="229"/>
      <c r="BX43" s="229"/>
      <c r="BY43" s="229"/>
      <c r="BZ43" s="229"/>
      <c r="CA43" s="229"/>
      <c r="CB43" s="229"/>
      <c r="CC43" s="229"/>
      <c r="CD43" s="229"/>
      <c r="CE43" s="229"/>
      <c r="CF43" s="229"/>
      <c r="CG43" s="229"/>
      <c r="CH43" s="229"/>
      <c r="CI43" s="229"/>
      <c r="CJ43" s="229"/>
      <c r="CK43" s="229"/>
      <c r="CL43" s="229"/>
    </row>
    <row r="44" spans="2:90" hidden="1">
      <c r="B44" s="316"/>
      <c r="C44" s="308" t="s">
        <v>263</v>
      </c>
      <c r="D44" s="309"/>
      <c r="E44" s="310" t="e">
        <f t="shared" ref="E44:BX44" si="15">-(#REF!+E25)</f>
        <v>#REF!</v>
      </c>
      <c r="F44" s="310" t="e">
        <f t="shared" si="15"/>
        <v>#REF!</v>
      </c>
      <c r="G44" s="310" t="e">
        <f t="shared" si="15"/>
        <v>#REF!</v>
      </c>
      <c r="H44" s="310" t="e">
        <f t="shared" si="15"/>
        <v>#REF!</v>
      </c>
      <c r="I44" s="310" t="e">
        <f t="shared" si="15"/>
        <v>#REF!</v>
      </c>
      <c r="J44" s="310" t="e">
        <f t="shared" si="15"/>
        <v>#REF!</v>
      </c>
      <c r="K44" s="310" t="e">
        <f t="shared" si="15"/>
        <v>#REF!</v>
      </c>
      <c r="L44" s="310" t="e">
        <f t="shared" si="15"/>
        <v>#REF!</v>
      </c>
      <c r="M44" s="310" t="e">
        <f t="shared" si="15"/>
        <v>#REF!</v>
      </c>
      <c r="N44" s="310" t="e">
        <f t="shared" si="15"/>
        <v>#REF!</v>
      </c>
      <c r="O44" s="310" t="e">
        <f t="shared" si="15"/>
        <v>#REF!</v>
      </c>
      <c r="P44" s="310" t="e">
        <f t="shared" si="15"/>
        <v>#REF!</v>
      </c>
      <c r="Q44" s="310" t="e">
        <f t="shared" si="15"/>
        <v>#REF!</v>
      </c>
      <c r="R44" s="310" t="e">
        <f t="shared" si="15"/>
        <v>#REF!</v>
      </c>
      <c r="S44" s="310" t="e">
        <f t="shared" si="15"/>
        <v>#REF!</v>
      </c>
      <c r="T44" s="310" t="e">
        <f t="shared" si="15"/>
        <v>#REF!</v>
      </c>
      <c r="U44" s="310" t="e">
        <f t="shared" si="15"/>
        <v>#REF!</v>
      </c>
      <c r="V44" s="310" t="e">
        <f t="shared" si="15"/>
        <v>#REF!</v>
      </c>
      <c r="W44" s="310" t="e">
        <f t="shared" si="15"/>
        <v>#REF!</v>
      </c>
      <c r="X44" s="310" t="e">
        <f t="shared" si="15"/>
        <v>#REF!</v>
      </c>
      <c r="Y44" s="310" t="e">
        <f t="shared" si="15"/>
        <v>#REF!</v>
      </c>
      <c r="Z44" s="310" t="e">
        <f t="shared" si="15"/>
        <v>#REF!</v>
      </c>
      <c r="AA44" s="310" t="e">
        <f t="shared" si="15"/>
        <v>#REF!</v>
      </c>
      <c r="AB44" s="310" t="e">
        <f t="shared" si="15"/>
        <v>#REF!</v>
      </c>
      <c r="AC44" s="310" t="e">
        <f t="shared" si="15"/>
        <v>#REF!</v>
      </c>
      <c r="AD44" s="310" t="e">
        <f t="shared" si="15"/>
        <v>#REF!</v>
      </c>
      <c r="AE44" s="310" t="e">
        <f t="shared" si="15"/>
        <v>#REF!</v>
      </c>
      <c r="AF44" s="310" t="e">
        <f t="shared" si="15"/>
        <v>#REF!</v>
      </c>
      <c r="AG44" s="310" t="e">
        <f t="shared" si="15"/>
        <v>#REF!</v>
      </c>
      <c r="AH44" s="310" t="e">
        <f t="shared" si="15"/>
        <v>#REF!</v>
      </c>
      <c r="AI44" s="310" t="e">
        <f t="shared" si="15"/>
        <v>#REF!</v>
      </c>
      <c r="AJ44" s="310" t="e">
        <f t="shared" si="15"/>
        <v>#REF!</v>
      </c>
      <c r="AK44" s="310" t="e">
        <f t="shared" si="15"/>
        <v>#REF!</v>
      </c>
      <c r="AL44" s="310" t="e">
        <f t="shared" si="15"/>
        <v>#REF!</v>
      </c>
      <c r="AM44" s="310" t="e">
        <f t="shared" si="15"/>
        <v>#REF!</v>
      </c>
      <c r="AN44" s="310" t="e">
        <f t="shared" si="15"/>
        <v>#REF!</v>
      </c>
      <c r="AO44" s="310" t="e">
        <f t="shared" si="15"/>
        <v>#REF!</v>
      </c>
      <c r="AP44" s="310" t="e">
        <f t="shared" si="15"/>
        <v>#REF!</v>
      </c>
      <c r="AQ44" s="310" t="e">
        <f t="shared" si="15"/>
        <v>#REF!</v>
      </c>
      <c r="AR44" s="310" t="e">
        <f t="shared" si="15"/>
        <v>#REF!</v>
      </c>
      <c r="AS44" s="310" t="e">
        <f t="shared" si="15"/>
        <v>#REF!</v>
      </c>
      <c r="AT44" s="310" t="e">
        <f t="shared" si="15"/>
        <v>#REF!</v>
      </c>
      <c r="AU44" s="310" t="e">
        <f t="shared" si="15"/>
        <v>#REF!</v>
      </c>
      <c r="AV44" s="310" t="e">
        <f t="shared" si="15"/>
        <v>#REF!</v>
      </c>
      <c r="AW44" s="310" t="e">
        <f t="shared" si="15"/>
        <v>#REF!</v>
      </c>
      <c r="AX44" s="310" t="e">
        <f t="shared" si="15"/>
        <v>#REF!</v>
      </c>
      <c r="AY44" s="310" t="e">
        <f t="shared" si="15"/>
        <v>#REF!</v>
      </c>
      <c r="AZ44" s="310" t="e">
        <f t="shared" si="15"/>
        <v>#REF!</v>
      </c>
      <c r="BA44" s="310" t="e">
        <f t="shared" si="15"/>
        <v>#REF!</v>
      </c>
      <c r="BB44" s="310" t="e">
        <f t="shared" si="15"/>
        <v>#REF!</v>
      </c>
      <c r="BC44" s="310" t="e">
        <f t="shared" si="15"/>
        <v>#REF!</v>
      </c>
      <c r="BD44" s="310" t="e">
        <f t="shared" si="15"/>
        <v>#REF!</v>
      </c>
      <c r="BE44" s="310" t="e">
        <f t="shared" si="15"/>
        <v>#REF!</v>
      </c>
      <c r="BF44" s="310" t="e">
        <f t="shared" si="15"/>
        <v>#REF!</v>
      </c>
      <c r="BG44" s="310" t="e">
        <f t="shared" si="15"/>
        <v>#REF!</v>
      </c>
      <c r="BH44" s="310" t="e">
        <f t="shared" si="15"/>
        <v>#REF!</v>
      </c>
      <c r="BI44" s="310" t="e">
        <f t="shared" si="15"/>
        <v>#REF!</v>
      </c>
      <c r="BJ44" s="310" t="e">
        <f t="shared" si="15"/>
        <v>#REF!</v>
      </c>
      <c r="BK44" s="310" t="e">
        <f t="shared" si="15"/>
        <v>#REF!</v>
      </c>
      <c r="BL44" s="310" t="e">
        <f t="shared" si="15"/>
        <v>#REF!</v>
      </c>
      <c r="BM44" s="310" t="e">
        <f t="shared" si="15"/>
        <v>#REF!</v>
      </c>
      <c r="BN44" s="310" t="e">
        <f t="shared" si="15"/>
        <v>#REF!</v>
      </c>
      <c r="BO44" s="310" t="e">
        <f t="shared" si="15"/>
        <v>#REF!</v>
      </c>
      <c r="BP44" s="310" t="e">
        <f t="shared" si="15"/>
        <v>#REF!</v>
      </c>
      <c r="BQ44" s="310" t="e">
        <f t="shared" si="15"/>
        <v>#REF!</v>
      </c>
      <c r="BR44" s="310" t="e">
        <f t="shared" si="15"/>
        <v>#REF!</v>
      </c>
      <c r="BS44" s="310" t="e">
        <f t="shared" si="15"/>
        <v>#REF!</v>
      </c>
      <c r="BT44" s="310" t="e">
        <f t="shared" si="15"/>
        <v>#REF!</v>
      </c>
      <c r="BU44" s="310" t="e">
        <f t="shared" si="15"/>
        <v>#REF!</v>
      </c>
      <c r="BV44" s="310" t="e">
        <f t="shared" si="15"/>
        <v>#REF!</v>
      </c>
      <c r="BW44" s="310" t="e">
        <f t="shared" si="15"/>
        <v>#REF!</v>
      </c>
      <c r="BX44" s="310" t="e">
        <f t="shared" si="15"/>
        <v>#REF!</v>
      </c>
      <c r="BY44" s="229"/>
      <c r="BZ44" s="229"/>
      <c r="CA44" s="229"/>
      <c r="CB44" s="229"/>
      <c r="CC44" s="229"/>
      <c r="CD44" s="229"/>
      <c r="CE44" s="229"/>
      <c r="CF44" s="229"/>
      <c r="CG44" s="229"/>
      <c r="CH44" s="229"/>
      <c r="CI44" s="229"/>
      <c r="CJ44" s="229"/>
      <c r="CK44" s="229"/>
      <c r="CL44" s="229"/>
    </row>
    <row r="45" spans="2:90" hidden="1">
      <c r="B45" s="316"/>
      <c r="C45" s="308" t="s">
        <v>264</v>
      </c>
      <c r="D45" s="317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  <c r="V45" s="309"/>
      <c r="W45" s="309"/>
      <c r="X45" s="309"/>
      <c r="Y45" s="309"/>
      <c r="Z45" s="309"/>
      <c r="AA45" s="309"/>
      <c r="AB45" s="309"/>
      <c r="AC45" s="309"/>
      <c r="AD45" s="309"/>
      <c r="AE45" s="309"/>
      <c r="AF45" s="309"/>
      <c r="AG45" s="309"/>
      <c r="AH45" s="309"/>
      <c r="AI45" s="309"/>
      <c r="AJ45" s="309"/>
      <c r="AK45" s="309"/>
      <c r="AL45" s="309"/>
      <c r="AM45" s="309"/>
      <c r="AN45" s="309"/>
      <c r="AO45" s="309"/>
      <c r="AP45" s="309"/>
      <c r="AQ45" s="309"/>
      <c r="AR45" s="309"/>
      <c r="AS45" s="309"/>
      <c r="AT45" s="309"/>
      <c r="AU45" s="309"/>
      <c r="AV45" s="309"/>
      <c r="AW45" s="309"/>
      <c r="AX45" s="309"/>
      <c r="AY45" s="309"/>
      <c r="AZ45" s="309"/>
      <c r="BA45" s="309"/>
      <c r="BB45" s="309"/>
      <c r="BC45" s="309"/>
      <c r="BD45" s="309"/>
      <c r="BE45" s="309"/>
      <c r="BF45" s="309"/>
      <c r="BG45" s="309"/>
      <c r="BH45" s="309"/>
      <c r="BI45" s="309"/>
      <c r="BJ45" s="309"/>
      <c r="BK45" s="309"/>
      <c r="BL45" s="309"/>
      <c r="BM45" s="309"/>
      <c r="BN45" s="309"/>
      <c r="BO45" s="309"/>
      <c r="BP45" s="309"/>
      <c r="BQ45" s="309"/>
      <c r="BR45" s="309"/>
      <c r="BS45" s="309"/>
      <c r="BT45" s="309"/>
      <c r="BU45" s="309"/>
      <c r="BV45" s="309"/>
      <c r="BW45" s="309"/>
      <c r="BX45" s="309"/>
      <c r="BY45" s="229"/>
      <c r="BZ45" s="229"/>
      <c r="CA45" s="229"/>
      <c r="CB45" s="229"/>
      <c r="CC45" s="229"/>
      <c r="CD45" s="229"/>
      <c r="CE45" s="229"/>
      <c r="CF45" s="229"/>
      <c r="CG45" s="229"/>
      <c r="CH45" s="229"/>
      <c r="CI45" s="229"/>
      <c r="CJ45" s="229"/>
      <c r="CK45" s="229"/>
      <c r="CL45" s="229"/>
    </row>
    <row r="46" spans="2:90" hidden="1">
      <c r="B46" s="316"/>
      <c r="C46" s="308" t="s">
        <v>265</v>
      </c>
      <c r="D46" s="317"/>
      <c r="E46" s="309">
        <f t="shared" ref="E46:BX46" si="16">-E6</f>
        <v>0</v>
      </c>
      <c r="F46" s="309">
        <f t="shared" si="16"/>
        <v>0</v>
      </c>
      <c r="G46" s="309">
        <f t="shared" si="16"/>
        <v>0</v>
      </c>
      <c r="H46" s="309">
        <f t="shared" si="16"/>
        <v>0</v>
      </c>
      <c r="I46" s="309">
        <f t="shared" si="16"/>
        <v>0</v>
      </c>
      <c r="J46" s="309">
        <f t="shared" si="16"/>
        <v>0</v>
      </c>
      <c r="K46" s="309">
        <f t="shared" si="16"/>
        <v>0</v>
      </c>
      <c r="L46" s="309">
        <f t="shared" si="16"/>
        <v>0</v>
      </c>
      <c r="M46" s="309">
        <f t="shared" si="16"/>
        <v>0</v>
      </c>
      <c r="N46" s="309">
        <f t="shared" si="16"/>
        <v>0</v>
      </c>
      <c r="O46" s="309">
        <f t="shared" si="16"/>
        <v>-595250</v>
      </c>
      <c r="P46" s="309">
        <f t="shared" si="16"/>
        <v>-140456</v>
      </c>
      <c r="Q46" s="309">
        <f t="shared" si="16"/>
        <v>0</v>
      </c>
      <c r="R46" s="309">
        <f t="shared" si="16"/>
        <v>0</v>
      </c>
      <c r="S46" s="309">
        <f t="shared" si="16"/>
        <v>-70000</v>
      </c>
      <c r="T46" s="309">
        <f t="shared" si="16"/>
        <v>0</v>
      </c>
      <c r="U46" s="309">
        <f t="shared" si="16"/>
        <v>-2887500</v>
      </c>
      <c r="V46" s="309">
        <f t="shared" si="16"/>
        <v>0</v>
      </c>
      <c r="W46" s="309">
        <f t="shared" si="16"/>
        <v>0</v>
      </c>
      <c r="X46" s="309">
        <f t="shared" si="16"/>
        <v>0</v>
      </c>
      <c r="Y46" s="309">
        <f t="shared" si="16"/>
        <v>-125000</v>
      </c>
      <c r="Z46" s="309">
        <f t="shared" si="16"/>
        <v>-875000</v>
      </c>
      <c r="AA46" s="309">
        <f t="shared" si="16"/>
        <v>-1000000</v>
      </c>
      <c r="AB46" s="309">
        <f t="shared" si="16"/>
        <v>-875000</v>
      </c>
      <c r="AC46" s="309">
        <f t="shared" si="16"/>
        <v>0</v>
      </c>
      <c r="AD46" s="309">
        <f t="shared" si="16"/>
        <v>0</v>
      </c>
      <c r="AE46" s="309">
        <f t="shared" si="16"/>
        <v>0</v>
      </c>
      <c r="AF46" s="309">
        <f t="shared" si="16"/>
        <v>0</v>
      </c>
      <c r="AG46" s="309">
        <f t="shared" si="16"/>
        <v>0</v>
      </c>
      <c r="AH46" s="309">
        <f t="shared" si="16"/>
        <v>0</v>
      </c>
      <c r="AI46" s="309">
        <f t="shared" si="16"/>
        <v>0</v>
      </c>
      <c r="AJ46" s="309">
        <f t="shared" si="16"/>
        <v>0</v>
      </c>
      <c r="AK46" s="309">
        <f t="shared" si="16"/>
        <v>0</v>
      </c>
      <c r="AL46" s="309">
        <f t="shared" si="16"/>
        <v>0</v>
      </c>
      <c r="AM46" s="309">
        <f t="shared" si="16"/>
        <v>0</v>
      </c>
      <c r="AN46" s="309">
        <f t="shared" si="16"/>
        <v>0</v>
      </c>
      <c r="AO46" s="309">
        <f t="shared" si="16"/>
        <v>0</v>
      </c>
      <c r="AP46" s="309">
        <f t="shared" si="16"/>
        <v>0</v>
      </c>
      <c r="AQ46" s="309">
        <f t="shared" si="16"/>
        <v>0</v>
      </c>
      <c r="AR46" s="309">
        <f t="shared" si="16"/>
        <v>0</v>
      </c>
      <c r="AS46" s="309">
        <f t="shared" si="16"/>
        <v>0</v>
      </c>
      <c r="AT46" s="309">
        <f t="shared" si="16"/>
        <v>0</v>
      </c>
      <c r="AU46" s="309">
        <f t="shared" si="16"/>
        <v>0</v>
      </c>
      <c r="AV46" s="309">
        <f t="shared" si="16"/>
        <v>0</v>
      </c>
      <c r="AW46" s="309">
        <f t="shared" si="16"/>
        <v>0</v>
      </c>
      <c r="AX46" s="309">
        <f t="shared" si="16"/>
        <v>0</v>
      </c>
      <c r="AY46" s="309">
        <f t="shared" si="16"/>
        <v>0</v>
      </c>
      <c r="AZ46" s="309">
        <f t="shared" si="16"/>
        <v>0</v>
      </c>
      <c r="BA46" s="309">
        <f t="shared" si="16"/>
        <v>0</v>
      </c>
      <c r="BB46" s="309">
        <f t="shared" si="16"/>
        <v>0</v>
      </c>
      <c r="BC46" s="309">
        <f t="shared" si="16"/>
        <v>0</v>
      </c>
      <c r="BD46" s="309">
        <f t="shared" si="16"/>
        <v>0</v>
      </c>
      <c r="BE46" s="309">
        <f t="shared" si="16"/>
        <v>0</v>
      </c>
      <c r="BF46" s="309">
        <f t="shared" si="16"/>
        <v>0</v>
      </c>
      <c r="BG46" s="309">
        <f t="shared" si="16"/>
        <v>0</v>
      </c>
      <c r="BH46" s="309">
        <f t="shared" si="16"/>
        <v>0</v>
      </c>
      <c r="BI46" s="309">
        <f t="shared" si="16"/>
        <v>0</v>
      </c>
      <c r="BJ46" s="309">
        <f t="shared" si="16"/>
        <v>0</v>
      </c>
      <c r="BK46" s="309">
        <f t="shared" si="16"/>
        <v>0</v>
      </c>
      <c r="BL46" s="309">
        <f t="shared" si="16"/>
        <v>0</v>
      </c>
      <c r="BM46" s="309">
        <f t="shared" si="16"/>
        <v>0</v>
      </c>
      <c r="BN46" s="309">
        <f t="shared" si="16"/>
        <v>0</v>
      </c>
      <c r="BO46" s="309">
        <f t="shared" si="16"/>
        <v>0</v>
      </c>
      <c r="BP46" s="309">
        <f t="shared" si="16"/>
        <v>0</v>
      </c>
      <c r="BQ46" s="309">
        <f t="shared" si="16"/>
        <v>0</v>
      </c>
      <c r="BR46" s="309">
        <f t="shared" si="16"/>
        <v>0</v>
      </c>
      <c r="BS46" s="309">
        <f t="shared" si="16"/>
        <v>0</v>
      </c>
      <c r="BT46" s="309">
        <f t="shared" si="16"/>
        <v>0</v>
      </c>
      <c r="BU46" s="309">
        <f t="shared" si="16"/>
        <v>0</v>
      </c>
      <c r="BV46" s="309">
        <f t="shared" si="16"/>
        <v>0</v>
      </c>
      <c r="BW46" s="309">
        <f t="shared" si="16"/>
        <v>0</v>
      </c>
      <c r="BX46" s="309">
        <f t="shared" si="16"/>
        <v>0</v>
      </c>
      <c r="BY46" s="229"/>
      <c r="BZ46" s="229"/>
      <c r="CA46" s="229"/>
      <c r="CB46" s="229"/>
      <c r="CC46" s="229"/>
      <c r="CD46" s="229"/>
      <c r="CE46" s="229"/>
      <c r="CF46" s="229"/>
      <c r="CG46" s="229"/>
      <c r="CH46" s="229"/>
      <c r="CI46" s="229"/>
      <c r="CJ46" s="229"/>
      <c r="CK46" s="229"/>
      <c r="CL46" s="229"/>
    </row>
    <row r="47" spans="2:90" hidden="1">
      <c r="B47" s="316"/>
      <c r="C47" s="308" t="s">
        <v>266</v>
      </c>
      <c r="D47" s="317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09">
        <f>AI38*D49</f>
        <v>0</v>
      </c>
      <c r="AJ47" s="309"/>
      <c r="AK47" s="309"/>
      <c r="AL47" s="309"/>
      <c r="AM47" s="309"/>
      <c r="AN47" s="309"/>
      <c r="AO47" s="309"/>
      <c r="AP47" s="309"/>
      <c r="AQ47" s="309"/>
      <c r="AR47" s="309"/>
      <c r="AS47" s="309"/>
      <c r="AT47" s="309"/>
      <c r="AU47" s="309"/>
      <c r="AV47" s="309"/>
      <c r="AW47" s="309"/>
      <c r="AX47" s="309"/>
      <c r="AY47" s="309"/>
      <c r="AZ47" s="309"/>
      <c r="BA47" s="309"/>
      <c r="BB47" s="309"/>
      <c r="BC47" s="309"/>
      <c r="BD47" s="309"/>
      <c r="BE47" s="309"/>
      <c r="BF47" s="309"/>
      <c r="BG47" s="309"/>
      <c r="BH47" s="309"/>
      <c r="BI47" s="309"/>
      <c r="BJ47" s="309"/>
      <c r="BK47" s="309"/>
      <c r="BL47" s="309"/>
      <c r="BM47" s="309"/>
      <c r="BN47" s="309"/>
      <c r="BO47" s="309"/>
      <c r="BP47" s="309"/>
      <c r="BQ47" s="309"/>
      <c r="BR47" s="309"/>
      <c r="BS47" s="309"/>
      <c r="BT47" s="309"/>
      <c r="BU47" s="309"/>
      <c r="BV47" s="309"/>
      <c r="BW47" s="309"/>
      <c r="BX47" s="309" t="e">
        <f>IF(#REF!&gt;0.25,(BX38-#REF!)*D49,BX38*D49)</f>
        <v>#REF!</v>
      </c>
      <c r="BY47" s="229"/>
      <c r="BZ47" s="229"/>
      <c r="CA47" s="229"/>
      <c r="CB47" s="229"/>
      <c r="CC47" s="229"/>
      <c r="CD47" s="229"/>
      <c r="CE47" s="229"/>
      <c r="CF47" s="229"/>
      <c r="CG47" s="229"/>
      <c r="CH47" s="229"/>
      <c r="CI47" s="229"/>
      <c r="CJ47" s="229"/>
      <c r="CK47" s="229"/>
      <c r="CL47" s="229"/>
    </row>
    <row r="48" spans="2:90" hidden="1">
      <c r="B48" s="316"/>
      <c r="C48" s="308" t="s">
        <v>262</v>
      </c>
      <c r="D48" s="317"/>
      <c r="E48" s="309"/>
      <c r="F48" s="309"/>
      <c r="G48" s="309"/>
      <c r="H48" s="309"/>
      <c r="I48" s="309"/>
      <c r="J48" s="309"/>
      <c r="K48" s="309"/>
      <c r="L48" s="309"/>
      <c r="M48" s="309"/>
      <c r="N48" s="309"/>
      <c r="O48" s="309"/>
      <c r="P48" s="309"/>
      <c r="Q48" s="309"/>
      <c r="R48" s="309"/>
      <c r="S48" s="309"/>
      <c r="T48" s="309"/>
      <c r="U48" s="309"/>
      <c r="V48" s="309"/>
      <c r="W48" s="309"/>
      <c r="X48" s="309"/>
      <c r="Y48" s="309"/>
      <c r="Z48" s="309"/>
      <c r="AA48" s="309"/>
      <c r="AB48" s="309"/>
      <c r="AC48" s="309"/>
      <c r="AD48" s="309"/>
      <c r="AE48" s="309"/>
      <c r="AF48" s="309"/>
      <c r="AG48" s="309"/>
      <c r="AH48" s="309"/>
      <c r="AI48" s="309"/>
      <c r="AJ48" s="309"/>
      <c r="AK48" s="309"/>
      <c r="AL48" s="309"/>
      <c r="AM48" s="309"/>
      <c r="AN48" s="309"/>
      <c r="AO48" s="309"/>
      <c r="AP48" s="309"/>
      <c r="AQ48" s="309"/>
      <c r="AR48" s="309"/>
      <c r="AS48" s="309"/>
      <c r="AT48" s="309"/>
      <c r="AU48" s="309"/>
      <c r="AV48" s="309"/>
      <c r="AW48" s="309"/>
      <c r="AX48" s="309"/>
      <c r="AY48" s="309"/>
      <c r="AZ48" s="309"/>
      <c r="BA48" s="309"/>
      <c r="BB48" s="309"/>
      <c r="BC48" s="309"/>
      <c r="BD48" s="309"/>
      <c r="BE48" s="309"/>
      <c r="BF48" s="309"/>
      <c r="BG48" s="309"/>
      <c r="BH48" s="309"/>
      <c r="BI48" s="309"/>
      <c r="BJ48" s="309"/>
      <c r="BK48" s="309"/>
      <c r="BL48" s="309"/>
      <c r="BM48" s="309"/>
      <c r="BN48" s="309"/>
      <c r="BO48" s="309"/>
      <c r="BP48" s="309"/>
      <c r="BQ48" s="309"/>
      <c r="BR48" s="309"/>
      <c r="BS48" s="309"/>
      <c r="BT48" s="309"/>
      <c r="BU48" s="309"/>
      <c r="BV48" s="309"/>
      <c r="BW48" s="309"/>
      <c r="BX48" s="309" t="e">
        <f>IF(#REF!&gt;0.25,#REF!,0)</f>
        <v>#REF!</v>
      </c>
      <c r="BY48" s="229"/>
      <c r="BZ48" s="229"/>
      <c r="CA48" s="229"/>
      <c r="CB48" s="229"/>
      <c r="CC48" s="229"/>
      <c r="CD48" s="229"/>
      <c r="CE48" s="229"/>
      <c r="CF48" s="229"/>
      <c r="CG48" s="229"/>
      <c r="CH48" s="229"/>
      <c r="CI48" s="229"/>
      <c r="CJ48" s="229"/>
      <c r="CK48" s="229"/>
      <c r="CL48" s="229"/>
    </row>
    <row r="49" spans="3:76" hidden="1">
      <c r="C49" s="311" t="s">
        <v>267</v>
      </c>
      <c r="D49" s="317">
        <v>0.4</v>
      </c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  <c r="S49" s="250"/>
      <c r="T49" s="250"/>
      <c r="U49" s="250"/>
      <c r="V49" s="250"/>
      <c r="W49" s="250"/>
      <c r="X49" s="250"/>
      <c r="Y49" s="250"/>
      <c r="Z49" s="250"/>
      <c r="AA49" s="250"/>
      <c r="AB49" s="250"/>
      <c r="AC49" s="250"/>
      <c r="AD49" s="250"/>
      <c r="AE49" s="250"/>
      <c r="AF49" s="250"/>
      <c r="AG49" s="250"/>
      <c r="AH49" s="250"/>
      <c r="AI49" s="250"/>
      <c r="AJ49" s="250"/>
      <c r="AK49" s="250"/>
      <c r="AL49" s="250"/>
      <c r="AM49" s="250"/>
      <c r="AN49" s="250"/>
      <c r="AO49" s="250"/>
      <c r="AP49" s="250"/>
      <c r="AQ49" s="250"/>
      <c r="AR49" s="250"/>
      <c r="AS49" s="250"/>
      <c r="AT49" s="250"/>
      <c r="AU49" s="250"/>
      <c r="AV49" s="250"/>
      <c r="AW49" s="250"/>
      <c r="AX49" s="250"/>
      <c r="AY49" s="250"/>
      <c r="AZ49" s="250"/>
      <c r="BA49" s="250"/>
      <c r="BB49" s="250"/>
      <c r="BC49" s="318"/>
      <c r="BD49" s="250"/>
      <c r="BE49" s="250"/>
      <c r="BF49" s="250"/>
      <c r="BG49" s="250"/>
      <c r="BH49" s="250"/>
      <c r="BI49" s="250"/>
      <c r="BJ49" s="250"/>
      <c r="BK49" s="250"/>
      <c r="BL49" s="250"/>
      <c r="BM49" s="250"/>
      <c r="BN49" s="250"/>
      <c r="BO49" s="250"/>
      <c r="BP49" s="250"/>
      <c r="BQ49" s="250"/>
      <c r="BR49" s="250"/>
      <c r="BS49" s="250"/>
      <c r="BT49" s="250"/>
      <c r="BU49" s="250"/>
      <c r="BV49" s="250"/>
      <c r="BW49" s="250"/>
      <c r="BX49" s="250"/>
    </row>
    <row r="50" spans="3:76" hidden="1">
      <c r="C50" s="308" t="s">
        <v>268</v>
      </c>
      <c r="D50" s="312"/>
      <c r="E50" s="319" t="e">
        <f t="shared" ref="E50:BW50" si="17">E44+E45+E46+E47+E49</f>
        <v>#REF!</v>
      </c>
      <c r="F50" s="319" t="e">
        <f t="shared" si="17"/>
        <v>#REF!</v>
      </c>
      <c r="G50" s="319" t="e">
        <f t="shared" si="17"/>
        <v>#REF!</v>
      </c>
      <c r="H50" s="319" t="e">
        <f t="shared" si="17"/>
        <v>#REF!</v>
      </c>
      <c r="I50" s="319" t="e">
        <f t="shared" si="17"/>
        <v>#REF!</v>
      </c>
      <c r="J50" s="319" t="e">
        <f t="shared" si="17"/>
        <v>#REF!</v>
      </c>
      <c r="K50" s="319" t="e">
        <f t="shared" si="17"/>
        <v>#REF!</v>
      </c>
      <c r="L50" s="319" t="e">
        <f t="shared" si="17"/>
        <v>#REF!</v>
      </c>
      <c r="M50" s="319" t="e">
        <f t="shared" si="17"/>
        <v>#REF!</v>
      </c>
      <c r="N50" s="319" t="e">
        <f t="shared" si="17"/>
        <v>#REF!</v>
      </c>
      <c r="O50" s="319" t="e">
        <f t="shared" si="17"/>
        <v>#REF!</v>
      </c>
      <c r="P50" s="319" t="e">
        <f t="shared" si="17"/>
        <v>#REF!</v>
      </c>
      <c r="Q50" s="319" t="e">
        <f t="shared" si="17"/>
        <v>#REF!</v>
      </c>
      <c r="R50" s="319" t="e">
        <f t="shared" si="17"/>
        <v>#REF!</v>
      </c>
      <c r="S50" s="319" t="e">
        <f t="shared" si="17"/>
        <v>#REF!</v>
      </c>
      <c r="T50" s="319" t="e">
        <f t="shared" si="17"/>
        <v>#REF!</v>
      </c>
      <c r="U50" s="319" t="e">
        <f t="shared" si="17"/>
        <v>#REF!</v>
      </c>
      <c r="V50" s="319" t="e">
        <f t="shared" si="17"/>
        <v>#REF!</v>
      </c>
      <c r="W50" s="319" t="e">
        <f t="shared" si="17"/>
        <v>#REF!</v>
      </c>
      <c r="X50" s="319" t="e">
        <f t="shared" si="17"/>
        <v>#REF!</v>
      </c>
      <c r="Y50" s="319" t="e">
        <f t="shared" si="17"/>
        <v>#REF!</v>
      </c>
      <c r="Z50" s="319" t="e">
        <f t="shared" si="17"/>
        <v>#REF!</v>
      </c>
      <c r="AA50" s="319" t="e">
        <f t="shared" si="17"/>
        <v>#REF!</v>
      </c>
      <c r="AB50" s="319" t="e">
        <f t="shared" si="17"/>
        <v>#REF!</v>
      </c>
      <c r="AC50" s="319" t="e">
        <f t="shared" si="17"/>
        <v>#REF!</v>
      </c>
      <c r="AD50" s="319" t="e">
        <f t="shared" si="17"/>
        <v>#REF!</v>
      </c>
      <c r="AE50" s="319" t="e">
        <f t="shared" si="17"/>
        <v>#REF!</v>
      </c>
      <c r="AF50" s="319" t="e">
        <f t="shared" si="17"/>
        <v>#REF!</v>
      </c>
      <c r="AG50" s="319" t="e">
        <f t="shared" si="17"/>
        <v>#REF!</v>
      </c>
      <c r="AH50" s="319" t="e">
        <f t="shared" si="17"/>
        <v>#REF!</v>
      </c>
      <c r="AI50" s="319" t="e">
        <f t="shared" si="17"/>
        <v>#REF!</v>
      </c>
      <c r="AJ50" s="319" t="e">
        <f t="shared" si="17"/>
        <v>#REF!</v>
      </c>
      <c r="AK50" s="319" t="e">
        <f t="shared" si="17"/>
        <v>#REF!</v>
      </c>
      <c r="AL50" s="319" t="e">
        <f t="shared" si="17"/>
        <v>#REF!</v>
      </c>
      <c r="AM50" s="319" t="e">
        <f t="shared" si="17"/>
        <v>#REF!</v>
      </c>
      <c r="AN50" s="319" t="e">
        <f t="shared" si="17"/>
        <v>#REF!</v>
      </c>
      <c r="AO50" s="319" t="e">
        <f t="shared" si="17"/>
        <v>#REF!</v>
      </c>
      <c r="AP50" s="319" t="e">
        <f t="shared" si="17"/>
        <v>#REF!</v>
      </c>
      <c r="AQ50" s="319" t="e">
        <f t="shared" si="17"/>
        <v>#REF!</v>
      </c>
      <c r="AR50" s="319" t="e">
        <f t="shared" si="17"/>
        <v>#REF!</v>
      </c>
      <c r="AS50" s="319" t="e">
        <f t="shared" si="17"/>
        <v>#REF!</v>
      </c>
      <c r="AT50" s="319" t="e">
        <f t="shared" si="17"/>
        <v>#REF!</v>
      </c>
      <c r="AU50" s="319" t="e">
        <f t="shared" si="17"/>
        <v>#REF!</v>
      </c>
      <c r="AV50" s="319" t="e">
        <f t="shared" si="17"/>
        <v>#REF!</v>
      </c>
      <c r="AW50" s="319" t="e">
        <f t="shared" si="17"/>
        <v>#REF!</v>
      </c>
      <c r="AX50" s="319" t="e">
        <f t="shared" si="17"/>
        <v>#REF!</v>
      </c>
      <c r="AY50" s="319" t="e">
        <f t="shared" si="17"/>
        <v>#REF!</v>
      </c>
      <c r="AZ50" s="319" t="e">
        <f t="shared" si="17"/>
        <v>#REF!</v>
      </c>
      <c r="BA50" s="319" t="e">
        <f t="shared" si="17"/>
        <v>#REF!</v>
      </c>
      <c r="BB50" s="319" t="e">
        <f t="shared" si="17"/>
        <v>#REF!</v>
      </c>
      <c r="BC50" s="319" t="e">
        <f t="shared" si="17"/>
        <v>#REF!</v>
      </c>
      <c r="BD50" s="319" t="e">
        <f t="shared" si="17"/>
        <v>#REF!</v>
      </c>
      <c r="BE50" s="319" t="e">
        <f t="shared" si="17"/>
        <v>#REF!</v>
      </c>
      <c r="BF50" s="319" t="e">
        <f t="shared" si="17"/>
        <v>#REF!</v>
      </c>
      <c r="BG50" s="319" t="e">
        <f t="shared" si="17"/>
        <v>#REF!</v>
      </c>
      <c r="BH50" s="319" t="e">
        <f t="shared" si="17"/>
        <v>#REF!</v>
      </c>
      <c r="BI50" s="319" t="e">
        <f t="shared" si="17"/>
        <v>#REF!</v>
      </c>
      <c r="BJ50" s="319" t="e">
        <f t="shared" si="17"/>
        <v>#REF!</v>
      </c>
      <c r="BK50" s="319" t="e">
        <f t="shared" si="17"/>
        <v>#REF!</v>
      </c>
      <c r="BL50" s="319" t="e">
        <f t="shared" si="17"/>
        <v>#REF!</v>
      </c>
      <c r="BM50" s="319" t="e">
        <f t="shared" si="17"/>
        <v>#REF!</v>
      </c>
      <c r="BN50" s="319" t="e">
        <f t="shared" si="17"/>
        <v>#REF!</v>
      </c>
      <c r="BO50" s="319" t="e">
        <f t="shared" si="17"/>
        <v>#REF!</v>
      </c>
      <c r="BP50" s="319" t="e">
        <f t="shared" si="17"/>
        <v>#REF!</v>
      </c>
      <c r="BQ50" s="319" t="e">
        <f t="shared" si="17"/>
        <v>#REF!</v>
      </c>
      <c r="BR50" s="319" t="e">
        <f t="shared" si="17"/>
        <v>#REF!</v>
      </c>
      <c r="BS50" s="319" t="e">
        <f t="shared" si="17"/>
        <v>#REF!</v>
      </c>
      <c r="BT50" s="319" t="e">
        <f t="shared" si="17"/>
        <v>#REF!</v>
      </c>
      <c r="BU50" s="319" t="e">
        <f t="shared" si="17"/>
        <v>#REF!</v>
      </c>
      <c r="BV50" s="319" t="e">
        <f t="shared" si="17"/>
        <v>#REF!</v>
      </c>
      <c r="BW50" s="319" t="e">
        <f t="shared" si="17"/>
        <v>#REF!</v>
      </c>
      <c r="BX50" s="319" t="e">
        <f>BX44+BX45+BX46+BX47+BX48+BX49</f>
        <v>#REF!</v>
      </c>
    </row>
    <row r="51" spans="3:76" hidden="1">
      <c r="C51" s="308"/>
      <c r="D51" s="320"/>
      <c r="E51" s="321" t="e">
        <f>E50</f>
        <v>#REF!</v>
      </c>
      <c r="F51" s="321" t="e">
        <f t="shared" ref="F51:BX51" si="18">E51+F50</f>
        <v>#REF!</v>
      </c>
      <c r="G51" s="321" t="e">
        <f t="shared" si="18"/>
        <v>#REF!</v>
      </c>
      <c r="H51" s="321" t="e">
        <f t="shared" si="18"/>
        <v>#REF!</v>
      </c>
      <c r="I51" s="321" t="e">
        <f t="shared" si="18"/>
        <v>#REF!</v>
      </c>
      <c r="J51" s="321" t="e">
        <f t="shared" si="18"/>
        <v>#REF!</v>
      </c>
      <c r="K51" s="321" t="e">
        <f t="shared" si="18"/>
        <v>#REF!</v>
      </c>
      <c r="L51" s="321" t="e">
        <f t="shared" si="18"/>
        <v>#REF!</v>
      </c>
      <c r="M51" s="321" t="e">
        <f t="shared" si="18"/>
        <v>#REF!</v>
      </c>
      <c r="N51" s="321" t="e">
        <f t="shared" si="18"/>
        <v>#REF!</v>
      </c>
      <c r="O51" s="321" t="e">
        <f t="shared" si="18"/>
        <v>#REF!</v>
      </c>
      <c r="P51" s="321" t="e">
        <f t="shared" si="18"/>
        <v>#REF!</v>
      </c>
      <c r="Q51" s="321" t="e">
        <f t="shared" si="18"/>
        <v>#REF!</v>
      </c>
      <c r="R51" s="321" t="e">
        <f t="shared" si="18"/>
        <v>#REF!</v>
      </c>
      <c r="S51" s="321" t="e">
        <f t="shared" si="18"/>
        <v>#REF!</v>
      </c>
      <c r="T51" s="321" t="e">
        <f t="shared" si="18"/>
        <v>#REF!</v>
      </c>
      <c r="U51" s="321" t="e">
        <f t="shared" si="18"/>
        <v>#REF!</v>
      </c>
      <c r="V51" s="321" t="e">
        <f t="shared" si="18"/>
        <v>#REF!</v>
      </c>
      <c r="W51" s="321" t="e">
        <f t="shared" si="18"/>
        <v>#REF!</v>
      </c>
      <c r="X51" s="321" t="e">
        <f t="shared" si="18"/>
        <v>#REF!</v>
      </c>
      <c r="Y51" s="321" t="e">
        <f t="shared" si="18"/>
        <v>#REF!</v>
      </c>
      <c r="Z51" s="321" t="e">
        <f t="shared" si="18"/>
        <v>#REF!</v>
      </c>
      <c r="AA51" s="321" t="e">
        <f t="shared" si="18"/>
        <v>#REF!</v>
      </c>
      <c r="AB51" s="321" t="e">
        <f t="shared" si="18"/>
        <v>#REF!</v>
      </c>
      <c r="AC51" s="321" t="e">
        <f t="shared" si="18"/>
        <v>#REF!</v>
      </c>
      <c r="AD51" s="321" t="e">
        <f t="shared" si="18"/>
        <v>#REF!</v>
      </c>
      <c r="AE51" s="321" t="e">
        <f t="shared" si="18"/>
        <v>#REF!</v>
      </c>
      <c r="AF51" s="321" t="e">
        <f t="shared" si="18"/>
        <v>#REF!</v>
      </c>
      <c r="AG51" s="321" t="e">
        <f t="shared" si="18"/>
        <v>#REF!</v>
      </c>
      <c r="AH51" s="321" t="e">
        <f t="shared" si="18"/>
        <v>#REF!</v>
      </c>
      <c r="AI51" s="321" t="e">
        <f t="shared" si="18"/>
        <v>#REF!</v>
      </c>
      <c r="AJ51" s="321" t="e">
        <f t="shared" si="18"/>
        <v>#REF!</v>
      </c>
      <c r="AK51" s="321" t="e">
        <f t="shared" si="18"/>
        <v>#REF!</v>
      </c>
      <c r="AL51" s="321" t="e">
        <f t="shared" si="18"/>
        <v>#REF!</v>
      </c>
      <c r="AM51" s="321" t="e">
        <f t="shared" si="18"/>
        <v>#REF!</v>
      </c>
      <c r="AN51" s="321" t="e">
        <f t="shared" si="18"/>
        <v>#REF!</v>
      </c>
      <c r="AO51" s="321" t="e">
        <f t="shared" si="18"/>
        <v>#REF!</v>
      </c>
      <c r="AP51" s="321" t="e">
        <f t="shared" si="18"/>
        <v>#REF!</v>
      </c>
      <c r="AQ51" s="321" t="e">
        <f t="shared" si="18"/>
        <v>#REF!</v>
      </c>
      <c r="AR51" s="321" t="e">
        <f t="shared" si="18"/>
        <v>#REF!</v>
      </c>
      <c r="AS51" s="321" t="e">
        <f t="shared" si="18"/>
        <v>#REF!</v>
      </c>
      <c r="AT51" s="321" t="e">
        <f t="shared" si="18"/>
        <v>#REF!</v>
      </c>
      <c r="AU51" s="321" t="e">
        <f t="shared" si="18"/>
        <v>#REF!</v>
      </c>
      <c r="AV51" s="321" t="e">
        <f t="shared" si="18"/>
        <v>#REF!</v>
      </c>
      <c r="AW51" s="321" t="e">
        <f t="shared" si="18"/>
        <v>#REF!</v>
      </c>
      <c r="AX51" s="321" t="e">
        <f t="shared" si="18"/>
        <v>#REF!</v>
      </c>
      <c r="AY51" s="321" t="e">
        <f t="shared" si="18"/>
        <v>#REF!</v>
      </c>
      <c r="AZ51" s="321" t="e">
        <f t="shared" si="18"/>
        <v>#REF!</v>
      </c>
      <c r="BA51" s="321" t="e">
        <f t="shared" si="18"/>
        <v>#REF!</v>
      </c>
      <c r="BB51" s="321" t="e">
        <f t="shared" si="18"/>
        <v>#REF!</v>
      </c>
      <c r="BC51" s="321" t="e">
        <f t="shared" si="18"/>
        <v>#REF!</v>
      </c>
      <c r="BD51" s="321" t="e">
        <f t="shared" si="18"/>
        <v>#REF!</v>
      </c>
      <c r="BE51" s="321" t="e">
        <f t="shared" si="18"/>
        <v>#REF!</v>
      </c>
      <c r="BF51" s="321" t="e">
        <f t="shared" si="18"/>
        <v>#REF!</v>
      </c>
      <c r="BG51" s="321" t="e">
        <f t="shared" si="18"/>
        <v>#REF!</v>
      </c>
      <c r="BH51" s="321" t="e">
        <f t="shared" si="18"/>
        <v>#REF!</v>
      </c>
      <c r="BI51" s="321" t="e">
        <f t="shared" si="18"/>
        <v>#REF!</v>
      </c>
      <c r="BJ51" s="321" t="e">
        <f t="shared" si="18"/>
        <v>#REF!</v>
      </c>
      <c r="BK51" s="321" t="e">
        <f t="shared" si="18"/>
        <v>#REF!</v>
      </c>
      <c r="BL51" s="321" t="e">
        <f t="shared" si="18"/>
        <v>#REF!</v>
      </c>
      <c r="BM51" s="321" t="e">
        <f t="shared" si="18"/>
        <v>#REF!</v>
      </c>
      <c r="BN51" s="321" t="e">
        <f t="shared" si="18"/>
        <v>#REF!</v>
      </c>
      <c r="BO51" s="321" t="e">
        <f t="shared" si="18"/>
        <v>#REF!</v>
      </c>
      <c r="BP51" s="321" t="e">
        <f t="shared" si="18"/>
        <v>#REF!</v>
      </c>
      <c r="BQ51" s="321" t="e">
        <f t="shared" si="18"/>
        <v>#REF!</v>
      </c>
      <c r="BR51" s="321" t="e">
        <f t="shared" si="18"/>
        <v>#REF!</v>
      </c>
      <c r="BS51" s="321" t="e">
        <f t="shared" si="18"/>
        <v>#REF!</v>
      </c>
      <c r="BT51" s="321" t="e">
        <f t="shared" si="18"/>
        <v>#REF!</v>
      </c>
      <c r="BU51" s="321" t="e">
        <f t="shared" si="18"/>
        <v>#REF!</v>
      </c>
      <c r="BV51" s="321" t="e">
        <f t="shared" si="18"/>
        <v>#REF!</v>
      </c>
      <c r="BW51" s="321" t="e">
        <f t="shared" si="18"/>
        <v>#REF!</v>
      </c>
      <c r="BX51" s="321" t="e">
        <f t="shared" si="18"/>
        <v>#REF!</v>
      </c>
    </row>
    <row r="52" spans="3:76" hidden="1">
      <c r="C52" s="311" t="s">
        <v>261</v>
      </c>
      <c r="D52" s="322" t="e">
        <f>IRR(I50:AI50)*12</f>
        <v>#VALUE!</v>
      </c>
      <c r="E52" s="229"/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29"/>
      <c r="Y52" s="229"/>
      <c r="Z52" s="229"/>
      <c r="AA52" s="229"/>
      <c r="AB52" s="229"/>
      <c r="AC52" s="229"/>
      <c r="AD52" s="229"/>
      <c r="AE52" s="229"/>
      <c r="AF52" s="229"/>
      <c r="AG52" s="229"/>
      <c r="AH52" s="229"/>
      <c r="AI52" s="229"/>
      <c r="AJ52" s="229"/>
      <c r="AK52" s="229"/>
      <c r="AL52" s="229"/>
      <c r="AM52" s="229"/>
      <c r="AN52" s="229"/>
      <c r="AO52" s="229"/>
      <c r="AP52" s="229"/>
      <c r="AQ52" s="229"/>
      <c r="AR52" s="229"/>
      <c r="AS52" s="229"/>
      <c r="AT52" s="229"/>
      <c r="AU52" s="229"/>
      <c r="AV52" s="229"/>
      <c r="AW52" s="229"/>
      <c r="AX52" s="229"/>
      <c r="AY52" s="229"/>
      <c r="AZ52" s="229"/>
      <c r="BA52" s="229"/>
      <c r="BB52" s="229"/>
      <c r="BC52" s="229"/>
      <c r="BD52" s="229"/>
      <c r="BE52" s="229"/>
      <c r="BF52" s="229"/>
      <c r="BG52" s="229"/>
      <c r="BH52" s="229"/>
      <c r="BI52" s="229"/>
      <c r="BJ52" s="229"/>
      <c r="BK52" s="229"/>
      <c r="BL52" s="229"/>
      <c r="BM52" s="229"/>
      <c r="BN52" s="229"/>
      <c r="BO52" s="229"/>
      <c r="BP52" s="229"/>
      <c r="BQ52" s="229"/>
      <c r="BR52" s="229"/>
      <c r="BS52" s="229"/>
      <c r="BT52" s="229"/>
      <c r="BU52" s="229"/>
      <c r="BV52" s="229"/>
      <c r="BW52" s="229"/>
      <c r="BX52" s="229"/>
    </row>
    <row r="53" spans="3:76" hidden="1">
      <c r="C53" s="323" t="s">
        <v>269</v>
      </c>
      <c r="D53" s="324" t="e">
        <f>-MIN(E51:BL51)</f>
        <v>#REF!</v>
      </c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  <c r="U53" s="229"/>
      <c r="V53" s="229"/>
      <c r="W53" s="229"/>
      <c r="X53" s="229"/>
      <c r="Y53" s="229"/>
      <c r="Z53" s="229"/>
      <c r="AA53" s="229"/>
      <c r="AB53" s="229"/>
      <c r="AC53" s="229"/>
      <c r="AD53" s="229"/>
      <c r="AE53" s="229"/>
      <c r="AF53" s="229"/>
      <c r="AG53" s="229"/>
      <c r="AH53" s="229"/>
      <c r="AI53" s="229"/>
      <c r="AJ53" s="229"/>
      <c r="AK53" s="229"/>
      <c r="AL53" s="229"/>
      <c r="AM53" s="229"/>
      <c r="AN53" s="229"/>
      <c r="AO53" s="229"/>
      <c r="AP53" s="229"/>
      <c r="AQ53" s="229"/>
      <c r="AR53" s="229"/>
      <c r="AS53" s="229"/>
      <c r="AT53" s="229"/>
      <c r="AU53" s="229"/>
      <c r="AV53" s="229"/>
      <c r="AW53" s="229"/>
      <c r="AX53" s="229"/>
      <c r="AY53" s="229"/>
      <c r="AZ53" s="229"/>
      <c r="BA53" s="229"/>
      <c r="BB53" s="229"/>
      <c r="BC53" s="229"/>
      <c r="BD53" s="229"/>
      <c r="BE53" s="229"/>
      <c r="BF53" s="229"/>
      <c r="BG53" s="229"/>
      <c r="BH53" s="229"/>
      <c r="BI53" s="229"/>
      <c r="BJ53" s="229"/>
      <c r="BK53" s="229"/>
      <c r="BL53" s="229"/>
      <c r="BM53" s="229"/>
      <c r="BN53" s="229"/>
      <c r="BO53" s="229"/>
      <c r="BP53" s="229"/>
      <c r="BQ53" s="229"/>
      <c r="BR53" s="229"/>
      <c r="BS53" s="229"/>
      <c r="BT53" s="229"/>
      <c r="BU53" s="229"/>
      <c r="BV53" s="229"/>
      <c r="BW53" s="229"/>
      <c r="BX53" s="229"/>
    </row>
    <row r="54" spans="3:76" hidden="1">
      <c r="C54" s="311" t="s">
        <v>270</v>
      </c>
      <c r="D54" s="325" t="e">
        <f>D53</f>
        <v>#REF!</v>
      </c>
      <c r="E54" s="229"/>
      <c r="F54" s="229"/>
      <c r="G54" s="229"/>
      <c r="H54" s="229"/>
      <c r="I54" s="229"/>
      <c r="J54" s="229"/>
      <c r="K54" s="229"/>
      <c r="L54" s="229"/>
      <c r="M54" s="229"/>
      <c r="N54" s="229"/>
      <c r="O54" s="229"/>
      <c r="P54" s="229"/>
      <c r="Q54" s="229"/>
      <c r="R54" s="229"/>
      <c r="S54" s="229"/>
      <c r="T54" s="229"/>
      <c r="U54" s="229"/>
      <c r="V54" s="229"/>
      <c r="W54" s="229"/>
      <c r="X54" s="229"/>
      <c r="Y54" s="229"/>
      <c r="Z54" s="229"/>
      <c r="AA54" s="229"/>
      <c r="AB54" s="229"/>
      <c r="AC54" s="229"/>
      <c r="AD54" s="229"/>
      <c r="AE54" s="229"/>
      <c r="AF54" s="229"/>
      <c r="AG54" s="229"/>
      <c r="AH54" s="229"/>
      <c r="AI54" s="229"/>
      <c r="AJ54" s="229"/>
      <c r="AK54" s="229"/>
      <c r="AL54" s="229"/>
      <c r="AM54" s="229"/>
      <c r="AN54" s="229"/>
      <c r="AO54" s="229"/>
      <c r="AP54" s="229"/>
      <c r="AQ54" s="229"/>
      <c r="AR54" s="229"/>
      <c r="AS54" s="229"/>
      <c r="AT54" s="229"/>
      <c r="AU54" s="229"/>
      <c r="AV54" s="229"/>
      <c r="AW54" s="229"/>
      <c r="AX54" s="229"/>
      <c r="AY54" s="229"/>
      <c r="AZ54" s="229"/>
      <c r="BA54" s="229"/>
      <c r="BB54" s="229"/>
      <c r="BC54" s="229"/>
      <c r="BD54" s="229"/>
      <c r="BE54" s="229"/>
      <c r="BF54" s="229"/>
      <c r="BG54" s="229"/>
      <c r="BH54" s="229"/>
      <c r="BI54" s="229"/>
      <c r="BJ54" s="229"/>
      <c r="BK54" s="229"/>
      <c r="BL54" s="229"/>
      <c r="BM54" s="229"/>
      <c r="BN54" s="229"/>
      <c r="BO54" s="229"/>
      <c r="BP54" s="229"/>
      <c r="BQ54" s="229"/>
      <c r="BR54" s="229"/>
      <c r="BS54" s="229"/>
      <c r="BT54" s="229"/>
      <c r="BU54" s="229"/>
      <c r="BV54" s="229"/>
      <c r="BW54" s="229"/>
      <c r="BX54" s="229"/>
    </row>
    <row r="55" spans="3:76" hidden="1">
      <c r="C55" s="311" t="s">
        <v>271</v>
      </c>
      <c r="D55" s="325">
        <f>AI47+AI46</f>
        <v>0</v>
      </c>
      <c r="E55" s="229"/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9"/>
      <c r="Q55" s="229"/>
      <c r="R55" s="229"/>
      <c r="S55" s="229"/>
      <c r="T55" s="229"/>
      <c r="U55" s="229"/>
      <c r="V55" s="229"/>
      <c r="W55" s="229"/>
      <c r="X55" s="229"/>
      <c r="Y55" s="229"/>
      <c r="Z55" s="229"/>
      <c r="AA55" s="229"/>
      <c r="AB55" s="229"/>
      <c r="AC55" s="229"/>
      <c r="AD55" s="229"/>
      <c r="AE55" s="229"/>
      <c r="AF55" s="229"/>
      <c r="AG55" s="229"/>
      <c r="AH55" s="229"/>
      <c r="AI55" s="229"/>
      <c r="AJ55" s="229"/>
      <c r="AK55" s="229"/>
      <c r="AL55" s="229"/>
      <c r="AM55" s="229"/>
      <c r="AN55" s="229"/>
      <c r="AO55" s="229"/>
      <c r="AP55" s="229"/>
      <c r="AQ55" s="229"/>
      <c r="AR55" s="229"/>
      <c r="AS55" s="229"/>
      <c r="AT55" s="229"/>
      <c r="AU55" s="229"/>
      <c r="AV55" s="229"/>
      <c r="AW55" s="229"/>
      <c r="AX55" s="229"/>
      <c r="AY55" s="229"/>
      <c r="AZ55" s="229"/>
      <c r="BA55" s="229"/>
      <c r="BB55" s="229"/>
      <c r="BC55" s="229"/>
      <c r="BD55" s="229"/>
      <c r="BE55" s="229"/>
      <c r="BF55" s="229"/>
      <c r="BG55" s="229"/>
      <c r="BH55" s="229"/>
      <c r="BI55" s="229"/>
      <c r="BJ55" s="229"/>
      <c r="BK55" s="229"/>
      <c r="BL55" s="229"/>
      <c r="BM55" s="229"/>
      <c r="BN55" s="229"/>
      <c r="BO55" s="229"/>
      <c r="BP55" s="229"/>
      <c r="BQ55" s="229"/>
      <c r="BR55" s="229"/>
      <c r="BS55" s="229"/>
      <c r="BT55" s="229"/>
      <c r="BU55" s="229"/>
      <c r="BV55" s="229"/>
      <c r="BW55" s="229"/>
      <c r="BX55" s="229"/>
    </row>
    <row r="56" spans="3:76" hidden="1">
      <c r="C56" s="311" t="s">
        <v>272</v>
      </c>
      <c r="D56" s="322" t="e">
        <f>D55/D54</f>
        <v>#REF!</v>
      </c>
      <c r="E56" s="229"/>
      <c r="F56" s="229"/>
      <c r="G56" s="229"/>
      <c r="H56" s="229"/>
      <c r="I56" s="229"/>
      <c r="J56" s="229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229"/>
      <c r="AB56" s="229"/>
      <c r="AC56" s="229"/>
      <c r="AD56" s="229"/>
      <c r="AE56" s="229"/>
      <c r="AF56" s="229"/>
      <c r="AG56" s="229"/>
      <c r="AH56" s="229"/>
      <c r="AI56" s="229"/>
      <c r="AJ56" s="229"/>
      <c r="AK56" s="229"/>
      <c r="AL56" s="229"/>
      <c r="AM56" s="229"/>
      <c r="AN56" s="229"/>
      <c r="AO56" s="229"/>
      <c r="AP56" s="229"/>
      <c r="AQ56" s="229"/>
      <c r="AR56" s="229"/>
      <c r="AS56" s="229"/>
      <c r="AT56" s="229"/>
      <c r="AU56" s="229"/>
      <c r="AV56" s="229"/>
      <c r="AW56" s="229"/>
      <c r="AX56" s="229"/>
      <c r="AY56" s="229"/>
      <c r="AZ56" s="229"/>
      <c r="BA56" s="229"/>
      <c r="BB56" s="229"/>
      <c r="BC56" s="229"/>
      <c r="BD56" s="229"/>
      <c r="BE56" s="229"/>
      <c r="BF56" s="229"/>
      <c r="BG56" s="229"/>
      <c r="BH56" s="229"/>
      <c r="BI56" s="229"/>
      <c r="BJ56" s="229"/>
      <c r="BK56" s="229"/>
      <c r="BL56" s="229"/>
      <c r="BM56" s="229"/>
      <c r="BN56" s="229"/>
      <c r="BO56" s="229"/>
      <c r="BP56" s="229"/>
      <c r="BQ56" s="229"/>
      <c r="BR56" s="229"/>
      <c r="BS56" s="229"/>
      <c r="BT56" s="229"/>
      <c r="BU56" s="229"/>
      <c r="BV56" s="229"/>
      <c r="BW56" s="229"/>
      <c r="BX56" s="229"/>
    </row>
    <row r="57" spans="3:76" hidden="1">
      <c r="E57" s="229"/>
      <c r="F57" s="229"/>
      <c r="G57" s="229"/>
      <c r="H57" s="229"/>
      <c r="I57" s="229"/>
      <c r="J57" s="229"/>
      <c r="K57" s="229"/>
      <c r="L57" s="229"/>
      <c r="M57" s="229"/>
      <c r="N57" s="229"/>
      <c r="O57" s="229"/>
      <c r="P57" s="229"/>
      <c r="Q57" s="229"/>
      <c r="R57" s="229"/>
      <c r="S57" s="229"/>
      <c r="T57" s="229"/>
      <c r="U57" s="229"/>
      <c r="V57" s="229"/>
      <c r="W57" s="229"/>
      <c r="X57" s="229"/>
      <c r="Y57" s="229"/>
      <c r="Z57" s="229"/>
      <c r="AA57" s="229"/>
      <c r="AB57" s="229"/>
      <c r="AC57" s="229"/>
      <c r="AD57" s="229"/>
      <c r="AE57" s="229"/>
      <c r="AF57" s="229"/>
      <c r="AG57" s="229"/>
      <c r="AH57" s="229"/>
      <c r="AI57" s="229"/>
      <c r="AJ57" s="229"/>
      <c r="AK57" s="229"/>
      <c r="AL57" s="229"/>
      <c r="AM57" s="229"/>
      <c r="AN57" s="229"/>
      <c r="AO57" s="229"/>
      <c r="AP57" s="229"/>
      <c r="AQ57" s="229"/>
      <c r="AR57" s="229"/>
      <c r="AS57" s="229"/>
      <c r="AT57" s="229"/>
      <c r="AU57" s="229"/>
      <c r="AV57" s="229"/>
      <c r="AW57" s="229"/>
      <c r="AX57" s="229"/>
      <c r="AY57" s="229"/>
      <c r="AZ57" s="229"/>
      <c r="BA57" s="229"/>
      <c r="BB57" s="229"/>
      <c r="BC57" s="229"/>
      <c r="BD57" s="229"/>
      <c r="BE57" s="229"/>
      <c r="BF57" s="229"/>
      <c r="BG57" s="229"/>
      <c r="BH57" s="229"/>
      <c r="BI57" s="229"/>
      <c r="BJ57" s="229"/>
      <c r="BK57" s="229"/>
      <c r="BL57" s="229"/>
      <c r="BM57" s="229"/>
      <c r="BN57" s="229"/>
      <c r="BO57" s="229"/>
      <c r="BP57" s="229"/>
      <c r="BQ57" s="229"/>
      <c r="BR57" s="229"/>
      <c r="BS57" s="229"/>
      <c r="BT57" s="229"/>
      <c r="BU57" s="229"/>
      <c r="BV57" s="229"/>
      <c r="BW57" s="229"/>
      <c r="BX57" s="229"/>
    </row>
    <row r="58" spans="3:76" hidden="1">
      <c r="E58" s="229"/>
      <c r="F58" s="229"/>
      <c r="G58" s="229"/>
      <c r="H58" s="229"/>
      <c r="I58" s="229"/>
      <c r="J58" s="229"/>
      <c r="K58" s="229"/>
      <c r="L58" s="229"/>
      <c r="M58" s="229"/>
      <c r="N58" s="229"/>
      <c r="O58" s="229"/>
      <c r="P58" s="229"/>
      <c r="Q58" s="229"/>
      <c r="R58" s="229"/>
      <c r="S58" s="229"/>
      <c r="T58" s="229"/>
      <c r="U58" s="229"/>
      <c r="V58" s="229"/>
      <c r="W58" s="229"/>
      <c r="X58" s="229"/>
      <c r="Y58" s="229"/>
      <c r="Z58" s="229"/>
      <c r="AA58" s="229"/>
      <c r="AB58" s="229"/>
      <c r="AC58" s="229"/>
      <c r="AD58" s="229"/>
      <c r="AE58" s="229"/>
      <c r="AF58" s="229"/>
      <c r="AG58" s="229"/>
      <c r="AH58" s="229"/>
      <c r="AI58" s="229"/>
      <c r="AJ58" s="229"/>
      <c r="AK58" s="229"/>
      <c r="AL58" s="229"/>
      <c r="AM58" s="229"/>
      <c r="AN58" s="229"/>
      <c r="AO58" s="229"/>
      <c r="AP58" s="229"/>
      <c r="AQ58" s="229"/>
      <c r="AR58" s="229"/>
      <c r="AS58" s="229"/>
      <c r="AT58" s="229"/>
      <c r="AU58" s="229"/>
      <c r="AV58" s="229"/>
      <c r="AW58" s="229"/>
      <c r="AX58" s="229"/>
      <c r="AY58" s="229"/>
      <c r="AZ58" s="229"/>
      <c r="BA58" s="229"/>
      <c r="BB58" s="229"/>
      <c r="BC58" s="229"/>
      <c r="BD58" s="229"/>
      <c r="BE58" s="229"/>
      <c r="BF58" s="229"/>
      <c r="BG58" s="229"/>
      <c r="BH58" s="229"/>
      <c r="BI58" s="229"/>
      <c r="BJ58" s="229"/>
      <c r="BK58" s="229"/>
      <c r="BL58" s="229"/>
      <c r="BM58" s="229"/>
      <c r="BN58" s="229"/>
      <c r="BO58" s="229"/>
      <c r="BP58" s="229"/>
      <c r="BQ58" s="229"/>
      <c r="BR58" s="229"/>
      <c r="BS58" s="229"/>
      <c r="BT58" s="229"/>
      <c r="BU58" s="229"/>
      <c r="BV58" s="229"/>
      <c r="BW58" s="229"/>
      <c r="BX58" s="229"/>
    </row>
    <row r="59" spans="3:76" hidden="1">
      <c r="E59" s="229"/>
      <c r="F59" s="229"/>
      <c r="G59" s="229"/>
      <c r="H59" s="229"/>
      <c r="I59" s="229"/>
      <c r="J59" s="229"/>
      <c r="K59" s="229"/>
      <c r="L59" s="229"/>
      <c r="M59" s="229"/>
      <c r="N59" s="229"/>
      <c r="O59" s="229"/>
      <c r="P59" s="229"/>
      <c r="Q59" s="229"/>
      <c r="R59" s="229"/>
      <c r="S59" s="229"/>
      <c r="T59" s="229"/>
      <c r="U59" s="229"/>
      <c r="V59" s="229"/>
      <c r="W59" s="229"/>
      <c r="X59" s="229"/>
      <c r="Y59" s="229"/>
      <c r="Z59" s="229"/>
      <c r="AA59" s="229"/>
      <c r="AB59" s="229"/>
      <c r="AC59" s="229"/>
      <c r="AD59" s="229"/>
      <c r="AE59" s="229"/>
      <c r="AF59" s="229"/>
      <c r="AG59" s="229"/>
      <c r="AH59" s="229"/>
      <c r="AI59" s="229"/>
      <c r="AJ59" s="229"/>
      <c r="AK59" s="229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29"/>
      <c r="AW59" s="229"/>
      <c r="AX59" s="229"/>
      <c r="AY59" s="229"/>
      <c r="AZ59" s="229"/>
      <c r="BA59" s="229"/>
      <c r="BB59" s="229"/>
      <c r="BC59" s="229"/>
      <c r="BD59" s="229"/>
      <c r="BE59" s="229"/>
      <c r="BF59" s="229"/>
      <c r="BG59" s="229"/>
      <c r="BH59" s="229"/>
      <c r="BI59" s="229"/>
      <c r="BJ59" s="229"/>
      <c r="BK59" s="229"/>
      <c r="BL59" s="229"/>
      <c r="BM59" s="229"/>
      <c r="BN59" s="229"/>
      <c r="BO59" s="229"/>
      <c r="BP59" s="229"/>
      <c r="BQ59" s="229"/>
      <c r="BR59" s="229"/>
      <c r="BS59" s="229"/>
      <c r="BT59" s="229"/>
      <c r="BU59" s="229"/>
      <c r="BV59" s="229"/>
      <c r="BW59" s="229"/>
      <c r="BX59" s="229"/>
    </row>
    <row r="60" spans="3:76" hidden="1">
      <c r="C60" s="308" t="s">
        <v>273</v>
      </c>
      <c r="D60" s="309"/>
      <c r="E60" s="309" t="e">
        <f t="shared" ref="E60:BX60" si="19">-(#REF!+E29)</f>
        <v>#REF!</v>
      </c>
      <c r="F60" s="309" t="e">
        <f t="shared" si="19"/>
        <v>#REF!</v>
      </c>
      <c r="G60" s="309" t="e">
        <f t="shared" si="19"/>
        <v>#REF!</v>
      </c>
      <c r="H60" s="309" t="e">
        <f t="shared" si="19"/>
        <v>#REF!</v>
      </c>
      <c r="I60" s="309" t="e">
        <f t="shared" si="19"/>
        <v>#REF!</v>
      </c>
      <c r="J60" s="309" t="e">
        <f t="shared" si="19"/>
        <v>#REF!</v>
      </c>
      <c r="K60" s="309" t="e">
        <f t="shared" si="19"/>
        <v>#REF!</v>
      </c>
      <c r="L60" s="309" t="e">
        <f t="shared" si="19"/>
        <v>#REF!</v>
      </c>
      <c r="M60" s="309" t="e">
        <f t="shared" si="19"/>
        <v>#REF!</v>
      </c>
      <c r="N60" s="309" t="e">
        <f t="shared" si="19"/>
        <v>#REF!</v>
      </c>
      <c r="O60" s="309" t="e">
        <f t="shared" si="19"/>
        <v>#REF!</v>
      </c>
      <c r="P60" s="309" t="e">
        <f t="shared" si="19"/>
        <v>#REF!</v>
      </c>
      <c r="Q60" s="309" t="e">
        <f t="shared" si="19"/>
        <v>#REF!</v>
      </c>
      <c r="R60" s="309" t="e">
        <f t="shared" si="19"/>
        <v>#REF!</v>
      </c>
      <c r="S60" s="309" t="e">
        <f t="shared" si="19"/>
        <v>#REF!</v>
      </c>
      <c r="T60" s="309" t="e">
        <f t="shared" si="19"/>
        <v>#REF!</v>
      </c>
      <c r="U60" s="309" t="e">
        <f t="shared" si="19"/>
        <v>#REF!</v>
      </c>
      <c r="V60" s="309" t="e">
        <f t="shared" si="19"/>
        <v>#REF!</v>
      </c>
      <c r="W60" s="309" t="e">
        <f t="shared" si="19"/>
        <v>#REF!</v>
      </c>
      <c r="X60" s="309" t="e">
        <f t="shared" si="19"/>
        <v>#REF!</v>
      </c>
      <c r="Y60" s="309" t="e">
        <f t="shared" si="19"/>
        <v>#REF!</v>
      </c>
      <c r="Z60" s="309" t="e">
        <f t="shared" si="19"/>
        <v>#REF!</v>
      </c>
      <c r="AA60" s="309" t="e">
        <f t="shared" si="19"/>
        <v>#REF!</v>
      </c>
      <c r="AB60" s="309" t="e">
        <f t="shared" si="19"/>
        <v>#REF!</v>
      </c>
      <c r="AC60" s="309" t="e">
        <f t="shared" si="19"/>
        <v>#REF!</v>
      </c>
      <c r="AD60" s="309" t="e">
        <f t="shared" si="19"/>
        <v>#REF!</v>
      </c>
      <c r="AE60" s="309" t="e">
        <f t="shared" si="19"/>
        <v>#REF!</v>
      </c>
      <c r="AF60" s="309" t="e">
        <f t="shared" si="19"/>
        <v>#REF!</v>
      </c>
      <c r="AG60" s="309" t="e">
        <f t="shared" si="19"/>
        <v>#REF!</v>
      </c>
      <c r="AH60" s="309" t="e">
        <f t="shared" si="19"/>
        <v>#REF!</v>
      </c>
      <c r="AI60" s="309" t="e">
        <f t="shared" si="19"/>
        <v>#REF!</v>
      </c>
      <c r="AJ60" s="309" t="e">
        <f t="shared" si="19"/>
        <v>#REF!</v>
      </c>
      <c r="AK60" s="309" t="e">
        <f t="shared" si="19"/>
        <v>#REF!</v>
      </c>
      <c r="AL60" s="309" t="e">
        <f t="shared" si="19"/>
        <v>#REF!</v>
      </c>
      <c r="AM60" s="309" t="e">
        <f t="shared" si="19"/>
        <v>#REF!</v>
      </c>
      <c r="AN60" s="309" t="e">
        <f t="shared" si="19"/>
        <v>#REF!</v>
      </c>
      <c r="AO60" s="309" t="e">
        <f t="shared" si="19"/>
        <v>#REF!</v>
      </c>
      <c r="AP60" s="309" t="e">
        <f t="shared" si="19"/>
        <v>#REF!</v>
      </c>
      <c r="AQ60" s="309" t="e">
        <f t="shared" si="19"/>
        <v>#REF!</v>
      </c>
      <c r="AR60" s="309" t="e">
        <f t="shared" si="19"/>
        <v>#REF!</v>
      </c>
      <c r="AS60" s="309" t="e">
        <f t="shared" si="19"/>
        <v>#REF!</v>
      </c>
      <c r="AT60" s="309" t="e">
        <f t="shared" si="19"/>
        <v>#REF!</v>
      </c>
      <c r="AU60" s="309" t="e">
        <f t="shared" si="19"/>
        <v>#REF!</v>
      </c>
      <c r="AV60" s="309" t="e">
        <f t="shared" si="19"/>
        <v>#REF!</v>
      </c>
      <c r="AW60" s="309" t="e">
        <f t="shared" si="19"/>
        <v>#REF!</v>
      </c>
      <c r="AX60" s="309" t="e">
        <f t="shared" si="19"/>
        <v>#REF!</v>
      </c>
      <c r="AY60" s="309" t="e">
        <f t="shared" si="19"/>
        <v>#REF!</v>
      </c>
      <c r="AZ60" s="309" t="e">
        <f t="shared" si="19"/>
        <v>#REF!</v>
      </c>
      <c r="BA60" s="309" t="e">
        <f t="shared" si="19"/>
        <v>#REF!</v>
      </c>
      <c r="BB60" s="309" t="e">
        <f t="shared" si="19"/>
        <v>#REF!</v>
      </c>
      <c r="BC60" s="309" t="e">
        <f t="shared" si="19"/>
        <v>#REF!</v>
      </c>
      <c r="BD60" s="309" t="e">
        <f t="shared" si="19"/>
        <v>#REF!</v>
      </c>
      <c r="BE60" s="309" t="e">
        <f t="shared" si="19"/>
        <v>#REF!</v>
      </c>
      <c r="BF60" s="309" t="e">
        <f t="shared" si="19"/>
        <v>#REF!</v>
      </c>
      <c r="BG60" s="309" t="e">
        <f t="shared" si="19"/>
        <v>#REF!</v>
      </c>
      <c r="BH60" s="309" t="e">
        <f t="shared" si="19"/>
        <v>#REF!</v>
      </c>
      <c r="BI60" s="309" t="e">
        <f t="shared" si="19"/>
        <v>#REF!</v>
      </c>
      <c r="BJ60" s="309" t="e">
        <f t="shared" si="19"/>
        <v>#REF!</v>
      </c>
      <c r="BK60" s="309" t="e">
        <f t="shared" si="19"/>
        <v>#REF!</v>
      </c>
      <c r="BL60" s="309" t="e">
        <f t="shared" si="19"/>
        <v>#REF!</v>
      </c>
      <c r="BM60" s="309" t="e">
        <f t="shared" si="19"/>
        <v>#REF!</v>
      </c>
      <c r="BN60" s="309" t="e">
        <f t="shared" si="19"/>
        <v>#REF!</v>
      </c>
      <c r="BO60" s="309" t="e">
        <f t="shared" si="19"/>
        <v>#REF!</v>
      </c>
      <c r="BP60" s="309" t="e">
        <f t="shared" si="19"/>
        <v>#REF!</v>
      </c>
      <c r="BQ60" s="309" t="e">
        <f t="shared" si="19"/>
        <v>#REF!</v>
      </c>
      <c r="BR60" s="309" t="e">
        <f t="shared" si="19"/>
        <v>#REF!</v>
      </c>
      <c r="BS60" s="309" t="e">
        <f t="shared" si="19"/>
        <v>#REF!</v>
      </c>
      <c r="BT60" s="309" t="e">
        <f t="shared" si="19"/>
        <v>#REF!</v>
      </c>
      <c r="BU60" s="309" t="e">
        <f t="shared" si="19"/>
        <v>#REF!</v>
      </c>
      <c r="BV60" s="309" t="e">
        <f t="shared" si="19"/>
        <v>#REF!</v>
      </c>
      <c r="BW60" s="309" t="e">
        <f t="shared" si="19"/>
        <v>#REF!</v>
      </c>
      <c r="BX60" s="309" t="e">
        <f t="shared" si="19"/>
        <v>#REF!</v>
      </c>
    </row>
    <row r="61" spans="3:76" hidden="1" outlineLevel="1">
      <c r="C61" s="308" t="s">
        <v>274</v>
      </c>
      <c r="D61" s="317"/>
      <c r="E61" s="309"/>
      <c r="F61" s="309"/>
      <c r="G61" s="309"/>
      <c r="H61" s="309"/>
      <c r="I61" s="309"/>
      <c r="J61" s="309"/>
      <c r="K61" s="309"/>
      <c r="L61" s="309"/>
      <c r="M61" s="309"/>
      <c r="N61" s="309"/>
      <c r="O61" s="309"/>
      <c r="P61" s="309"/>
      <c r="Q61" s="309"/>
      <c r="R61" s="309"/>
      <c r="S61" s="309"/>
      <c r="T61" s="309"/>
      <c r="U61" s="309"/>
      <c r="V61" s="309"/>
      <c r="W61" s="309"/>
      <c r="X61" s="309"/>
      <c r="Y61" s="309"/>
      <c r="Z61" s="309"/>
      <c r="AA61" s="309"/>
      <c r="AB61" s="309"/>
      <c r="AC61" s="309"/>
      <c r="AD61" s="309"/>
      <c r="AE61" s="309"/>
      <c r="AF61" s="309"/>
      <c r="AG61" s="309"/>
      <c r="AH61" s="309"/>
      <c r="AI61" s="309"/>
      <c r="AJ61" s="309"/>
      <c r="AK61" s="309"/>
      <c r="AL61" s="309"/>
      <c r="AM61" s="309"/>
      <c r="AN61" s="309"/>
      <c r="AO61" s="309"/>
      <c r="AP61" s="309"/>
      <c r="AQ61" s="309"/>
      <c r="AR61" s="309"/>
      <c r="AS61" s="309"/>
      <c r="AT61" s="309"/>
      <c r="AU61" s="309"/>
      <c r="AV61" s="309"/>
      <c r="AW61" s="309"/>
      <c r="AX61" s="309"/>
      <c r="AY61" s="309"/>
      <c r="AZ61" s="309"/>
      <c r="BA61" s="309"/>
      <c r="BB61" s="309"/>
      <c r="BC61" s="309"/>
      <c r="BD61" s="309"/>
      <c r="BE61" s="309"/>
      <c r="BF61" s="309"/>
      <c r="BG61" s="309"/>
      <c r="BH61" s="309"/>
      <c r="BI61" s="309"/>
      <c r="BJ61" s="309"/>
      <c r="BK61" s="309"/>
      <c r="BL61" s="309"/>
      <c r="BM61" s="309"/>
      <c r="BN61" s="309"/>
      <c r="BO61" s="309"/>
      <c r="BP61" s="309"/>
      <c r="BQ61" s="309"/>
      <c r="BR61" s="309"/>
      <c r="BS61" s="309"/>
      <c r="BT61" s="309"/>
      <c r="BU61" s="309"/>
      <c r="BV61" s="309"/>
      <c r="BW61" s="309"/>
      <c r="BX61" s="309"/>
    </row>
    <row r="62" spans="3:76" hidden="1" outlineLevel="1">
      <c r="C62" s="308" t="s">
        <v>265</v>
      </c>
      <c r="D62" s="317"/>
      <c r="E62" s="309">
        <f t="shared" ref="E62:BX62" si="20">-E7</f>
        <v>0</v>
      </c>
      <c r="F62" s="309">
        <f t="shared" si="20"/>
        <v>0</v>
      </c>
      <c r="G62" s="309">
        <f t="shared" si="20"/>
        <v>0</v>
      </c>
      <c r="H62" s="309">
        <f t="shared" si="20"/>
        <v>0</v>
      </c>
      <c r="I62" s="309">
        <f t="shared" si="20"/>
        <v>0</v>
      </c>
      <c r="J62" s="309">
        <f t="shared" si="20"/>
        <v>0</v>
      </c>
      <c r="K62" s="309">
        <f t="shared" si="20"/>
        <v>0</v>
      </c>
      <c r="L62" s="309">
        <f t="shared" si="20"/>
        <v>0</v>
      </c>
      <c r="M62" s="309">
        <f t="shared" si="20"/>
        <v>0</v>
      </c>
      <c r="N62" s="309">
        <f t="shared" si="20"/>
        <v>0</v>
      </c>
      <c r="O62" s="309">
        <f t="shared" si="20"/>
        <v>-595250</v>
      </c>
      <c r="P62" s="309">
        <f t="shared" si="20"/>
        <v>-140456</v>
      </c>
      <c r="Q62" s="309">
        <f t="shared" si="20"/>
        <v>0</v>
      </c>
      <c r="R62" s="309">
        <f t="shared" si="20"/>
        <v>0</v>
      </c>
      <c r="S62" s="309">
        <f t="shared" si="20"/>
        <v>-70000</v>
      </c>
      <c r="T62" s="309">
        <f t="shared" si="20"/>
        <v>0</v>
      </c>
      <c r="U62" s="309">
        <f t="shared" si="20"/>
        <v>-2887500</v>
      </c>
      <c r="V62" s="309">
        <f t="shared" si="20"/>
        <v>0</v>
      </c>
      <c r="W62" s="309">
        <f t="shared" si="20"/>
        <v>0</v>
      </c>
      <c r="X62" s="309">
        <f t="shared" si="20"/>
        <v>0</v>
      </c>
      <c r="Y62" s="309">
        <f t="shared" si="20"/>
        <v>-125000</v>
      </c>
      <c r="Z62" s="309">
        <f t="shared" si="20"/>
        <v>-875000</v>
      </c>
      <c r="AA62" s="309">
        <f t="shared" si="20"/>
        <v>-1000000</v>
      </c>
      <c r="AB62" s="309">
        <f t="shared" si="20"/>
        <v>-875000</v>
      </c>
      <c r="AC62" s="309">
        <f t="shared" si="20"/>
        <v>0</v>
      </c>
      <c r="AD62" s="309">
        <f t="shared" si="20"/>
        <v>0</v>
      </c>
      <c r="AE62" s="309">
        <f t="shared" si="20"/>
        <v>0</v>
      </c>
      <c r="AF62" s="309">
        <f t="shared" si="20"/>
        <v>0</v>
      </c>
      <c r="AG62" s="309">
        <f t="shared" si="20"/>
        <v>0</v>
      </c>
      <c r="AH62" s="309">
        <f t="shared" si="20"/>
        <v>0</v>
      </c>
      <c r="AI62" s="309">
        <f t="shared" si="20"/>
        <v>0</v>
      </c>
      <c r="AJ62" s="309">
        <f t="shared" si="20"/>
        <v>0</v>
      </c>
      <c r="AK62" s="309">
        <f t="shared" si="20"/>
        <v>0</v>
      </c>
      <c r="AL62" s="309">
        <f t="shared" si="20"/>
        <v>0</v>
      </c>
      <c r="AM62" s="309">
        <f t="shared" si="20"/>
        <v>0</v>
      </c>
      <c r="AN62" s="309">
        <f t="shared" si="20"/>
        <v>0</v>
      </c>
      <c r="AO62" s="309">
        <f t="shared" si="20"/>
        <v>0</v>
      </c>
      <c r="AP62" s="309">
        <f t="shared" si="20"/>
        <v>0</v>
      </c>
      <c r="AQ62" s="309">
        <f t="shared" si="20"/>
        <v>0</v>
      </c>
      <c r="AR62" s="309">
        <f t="shared" si="20"/>
        <v>0</v>
      </c>
      <c r="AS62" s="309">
        <f t="shared" si="20"/>
        <v>0</v>
      </c>
      <c r="AT62" s="309">
        <f t="shared" si="20"/>
        <v>0</v>
      </c>
      <c r="AU62" s="309">
        <f t="shared" si="20"/>
        <v>0</v>
      </c>
      <c r="AV62" s="309">
        <f t="shared" si="20"/>
        <v>0</v>
      </c>
      <c r="AW62" s="309">
        <f t="shared" si="20"/>
        <v>0</v>
      </c>
      <c r="AX62" s="309">
        <f t="shared" si="20"/>
        <v>0</v>
      </c>
      <c r="AY62" s="309">
        <f t="shared" si="20"/>
        <v>0</v>
      </c>
      <c r="AZ62" s="309">
        <f t="shared" si="20"/>
        <v>0</v>
      </c>
      <c r="BA62" s="309">
        <f t="shared" si="20"/>
        <v>0</v>
      </c>
      <c r="BB62" s="309">
        <f t="shared" si="20"/>
        <v>0</v>
      </c>
      <c r="BC62" s="309">
        <f t="shared" si="20"/>
        <v>0</v>
      </c>
      <c r="BD62" s="309">
        <f t="shared" si="20"/>
        <v>0</v>
      </c>
      <c r="BE62" s="309">
        <f t="shared" si="20"/>
        <v>0</v>
      </c>
      <c r="BF62" s="309">
        <f t="shared" si="20"/>
        <v>0</v>
      </c>
      <c r="BG62" s="309">
        <f t="shared" si="20"/>
        <v>0</v>
      </c>
      <c r="BH62" s="309">
        <f t="shared" si="20"/>
        <v>0</v>
      </c>
      <c r="BI62" s="309">
        <f t="shared" si="20"/>
        <v>0</v>
      </c>
      <c r="BJ62" s="309">
        <f t="shared" si="20"/>
        <v>0</v>
      </c>
      <c r="BK62" s="309">
        <f t="shared" si="20"/>
        <v>0</v>
      </c>
      <c r="BL62" s="309">
        <f t="shared" si="20"/>
        <v>0</v>
      </c>
      <c r="BM62" s="309">
        <f t="shared" si="20"/>
        <v>0</v>
      </c>
      <c r="BN62" s="309">
        <f t="shared" si="20"/>
        <v>0</v>
      </c>
      <c r="BO62" s="309">
        <f t="shared" si="20"/>
        <v>0</v>
      </c>
      <c r="BP62" s="309">
        <f t="shared" si="20"/>
        <v>0</v>
      </c>
      <c r="BQ62" s="309">
        <f t="shared" si="20"/>
        <v>0</v>
      </c>
      <c r="BR62" s="309">
        <f t="shared" si="20"/>
        <v>0</v>
      </c>
      <c r="BS62" s="309">
        <f t="shared" si="20"/>
        <v>0</v>
      </c>
      <c r="BT62" s="309">
        <f t="shared" si="20"/>
        <v>0</v>
      </c>
      <c r="BU62" s="309">
        <f t="shared" si="20"/>
        <v>0</v>
      </c>
      <c r="BV62" s="309">
        <f t="shared" si="20"/>
        <v>0</v>
      </c>
      <c r="BW62" s="309">
        <f t="shared" si="20"/>
        <v>0</v>
      </c>
      <c r="BX62" s="309">
        <f t="shared" si="20"/>
        <v>0</v>
      </c>
    </row>
    <row r="63" spans="3:76" hidden="1" outlineLevel="1">
      <c r="C63" s="308" t="s">
        <v>266</v>
      </c>
      <c r="D63" s="317"/>
      <c r="E63" s="309"/>
      <c r="F63" s="309"/>
      <c r="G63" s="309"/>
      <c r="H63" s="309"/>
      <c r="I63" s="309"/>
      <c r="J63" s="309"/>
      <c r="K63" s="309"/>
      <c r="L63" s="309"/>
      <c r="M63" s="309"/>
      <c r="N63" s="309"/>
      <c r="O63" s="309"/>
      <c r="P63" s="309"/>
      <c r="Q63" s="309"/>
      <c r="R63" s="309"/>
      <c r="S63" s="309"/>
      <c r="T63" s="309"/>
      <c r="U63" s="309"/>
      <c r="V63" s="309"/>
      <c r="W63" s="309"/>
      <c r="X63" s="309"/>
      <c r="Y63" s="309"/>
      <c r="Z63" s="309"/>
      <c r="AA63" s="309"/>
      <c r="AB63" s="309"/>
      <c r="AC63" s="309"/>
      <c r="AD63" s="309"/>
      <c r="AE63" s="309"/>
      <c r="AF63" s="309"/>
      <c r="AG63" s="309"/>
      <c r="AH63" s="309"/>
      <c r="AI63" s="309"/>
      <c r="AJ63" s="309"/>
      <c r="AK63" s="309"/>
      <c r="AL63" s="309"/>
      <c r="AM63" s="309"/>
      <c r="AN63" s="309"/>
      <c r="AO63" s="309"/>
      <c r="AP63" s="309"/>
      <c r="AQ63" s="309"/>
      <c r="AR63" s="309"/>
      <c r="AS63" s="309"/>
      <c r="AT63" s="309"/>
      <c r="AU63" s="309"/>
      <c r="AV63" s="309"/>
      <c r="AW63" s="309"/>
      <c r="AX63" s="309"/>
      <c r="AY63" s="309"/>
      <c r="AZ63" s="309"/>
      <c r="BA63" s="309"/>
      <c r="BB63" s="309"/>
      <c r="BC63" s="309"/>
      <c r="BD63" s="309"/>
      <c r="BE63" s="309"/>
      <c r="BF63" s="309"/>
      <c r="BG63" s="309"/>
      <c r="BH63" s="309"/>
      <c r="BI63" s="309"/>
      <c r="BJ63" s="309"/>
      <c r="BK63" s="309"/>
      <c r="BL63" s="309"/>
      <c r="BM63" s="309"/>
      <c r="BN63" s="309"/>
      <c r="BO63" s="309"/>
      <c r="BP63" s="309"/>
      <c r="BQ63" s="309"/>
      <c r="BR63" s="309"/>
      <c r="BS63" s="309"/>
      <c r="BT63" s="309"/>
      <c r="BU63" s="309"/>
      <c r="BV63" s="309"/>
      <c r="BW63" s="309"/>
      <c r="BX63" s="309" t="e">
        <f>IF(#REF!&gt;0.25,(BX38-#REF!)*D64,BX38*D64)</f>
        <v>#REF!</v>
      </c>
    </row>
    <row r="64" spans="3:76" hidden="1" outlineLevel="1">
      <c r="C64" s="311" t="s">
        <v>267</v>
      </c>
      <c r="D64" s="317">
        <v>0.2</v>
      </c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  <c r="R64" s="250"/>
      <c r="S64" s="250"/>
      <c r="T64" s="250"/>
      <c r="U64" s="250"/>
      <c r="V64" s="250"/>
      <c r="W64" s="250"/>
      <c r="X64" s="250"/>
      <c r="Y64" s="250"/>
      <c r="Z64" s="250"/>
      <c r="AA64" s="250"/>
      <c r="AB64" s="250"/>
      <c r="AC64" s="250"/>
      <c r="AD64" s="250"/>
      <c r="AE64" s="250"/>
      <c r="AF64" s="250"/>
      <c r="AG64" s="250"/>
      <c r="AH64" s="250"/>
      <c r="AI64" s="250">
        <f>AI38*D64</f>
        <v>0</v>
      </c>
      <c r="AJ64" s="250"/>
      <c r="AK64" s="250"/>
      <c r="AL64" s="250"/>
      <c r="AM64" s="250"/>
      <c r="AN64" s="250"/>
      <c r="AO64" s="250"/>
      <c r="AP64" s="250"/>
      <c r="AQ64" s="250"/>
      <c r="AR64" s="250"/>
      <c r="AS64" s="250"/>
      <c r="AT64" s="250"/>
      <c r="AU64" s="250"/>
      <c r="AV64" s="250"/>
      <c r="AW64" s="250"/>
      <c r="AX64" s="250"/>
      <c r="AY64" s="250"/>
      <c r="AZ64" s="250"/>
      <c r="BA64" s="250"/>
      <c r="BB64" s="250"/>
      <c r="BC64" s="250"/>
      <c r="BD64" s="250"/>
      <c r="BE64" s="250"/>
      <c r="BF64" s="250"/>
      <c r="BG64" s="250"/>
      <c r="BH64" s="250"/>
      <c r="BI64" s="250"/>
      <c r="BJ64" s="250"/>
      <c r="BK64" s="250"/>
      <c r="BL64" s="250"/>
      <c r="BM64" s="250"/>
      <c r="BN64" s="250"/>
      <c r="BO64" s="250"/>
      <c r="BP64" s="250"/>
      <c r="BQ64" s="250"/>
      <c r="BR64" s="250"/>
      <c r="BS64" s="250"/>
      <c r="BT64" s="250"/>
      <c r="BU64" s="250"/>
      <c r="BV64" s="250"/>
      <c r="BW64" s="250"/>
      <c r="BX64" s="250"/>
    </row>
    <row r="65" spans="3:76" hidden="1" outlineLevel="1">
      <c r="C65" s="308" t="s">
        <v>268</v>
      </c>
      <c r="D65" s="309"/>
      <c r="E65" s="319" t="e">
        <f t="shared" ref="E65:BX65" si="21">E60+E61+E62+E63+E64</f>
        <v>#REF!</v>
      </c>
      <c r="F65" s="319" t="e">
        <f t="shared" si="21"/>
        <v>#REF!</v>
      </c>
      <c r="G65" s="319" t="e">
        <f t="shared" si="21"/>
        <v>#REF!</v>
      </c>
      <c r="H65" s="319" t="e">
        <f t="shared" si="21"/>
        <v>#REF!</v>
      </c>
      <c r="I65" s="319" t="e">
        <f t="shared" si="21"/>
        <v>#REF!</v>
      </c>
      <c r="J65" s="319" t="e">
        <f t="shared" si="21"/>
        <v>#REF!</v>
      </c>
      <c r="K65" s="319" t="e">
        <f t="shared" si="21"/>
        <v>#REF!</v>
      </c>
      <c r="L65" s="319" t="e">
        <f t="shared" si="21"/>
        <v>#REF!</v>
      </c>
      <c r="M65" s="319" t="e">
        <f t="shared" si="21"/>
        <v>#REF!</v>
      </c>
      <c r="N65" s="319" t="e">
        <f t="shared" si="21"/>
        <v>#REF!</v>
      </c>
      <c r="O65" s="319" t="e">
        <f t="shared" si="21"/>
        <v>#REF!</v>
      </c>
      <c r="P65" s="319" t="e">
        <f t="shared" si="21"/>
        <v>#REF!</v>
      </c>
      <c r="Q65" s="319" t="e">
        <f t="shared" si="21"/>
        <v>#REF!</v>
      </c>
      <c r="R65" s="319" t="e">
        <f t="shared" si="21"/>
        <v>#REF!</v>
      </c>
      <c r="S65" s="319" t="e">
        <f t="shared" si="21"/>
        <v>#REF!</v>
      </c>
      <c r="T65" s="319" t="e">
        <f t="shared" si="21"/>
        <v>#REF!</v>
      </c>
      <c r="U65" s="319" t="e">
        <f t="shared" si="21"/>
        <v>#REF!</v>
      </c>
      <c r="V65" s="319" t="e">
        <f t="shared" si="21"/>
        <v>#REF!</v>
      </c>
      <c r="W65" s="319" t="e">
        <f t="shared" si="21"/>
        <v>#REF!</v>
      </c>
      <c r="X65" s="319" t="e">
        <f t="shared" si="21"/>
        <v>#REF!</v>
      </c>
      <c r="Y65" s="319" t="e">
        <f t="shared" si="21"/>
        <v>#REF!</v>
      </c>
      <c r="Z65" s="319" t="e">
        <f t="shared" si="21"/>
        <v>#REF!</v>
      </c>
      <c r="AA65" s="319" t="e">
        <f t="shared" si="21"/>
        <v>#REF!</v>
      </c>
      <c r="AB65" s="319" t="e">
        <f t="shared" si="21"/>
        <v>#REF!</v>
      </c>
      <c r="AC65" s="319" t="e">
        <f t="shared" si="21"/>
        <v>#REF!</v>
      </c>
      <c r="AD65" s="319" t="e">
        <f t="shared" si="21"/>
        <v>#REF!</v>
      </c>
      <c r="AE65" s="319" t="e">
        <f t="shared" si="21"/>
        <v>#REF!</v>
      </c>
      <c r="AF65" s="319" t="e">
        <f t="shared" si="21"/>
        <v>#REF!</v>
      </c>
      <c r="AG65" s="319" t="e">
        <f t="shared" si="21"/>
        <v>#REF!</v>
      </c>
      <c r="AH65" s="319" t="e">
        <f t="shared" si="21"/>
        <v>#REF!</v>
      </c>
      <c r="AI65" s="319" t="e">
        <f t="shared" si="21"/>
        <v>#REF!</v>
      </c>
      <c r="AJ65" s="319" t="e">
        <f t="shared" si="21"/>
        <v>#REF!</v>
      </c>
      <c r="AK65" s="319" t="e">
        <f t="shared" si="21"/>
        <v>#REF!</v>
      </c>
      <c r="AL65" s="319" t="e">
        <f t="shared" si="21"/>
        <v>#REF!</v>
      </c>
      <c r="AM65" s="319" t="e">
        <f t="shared" si="21"/>
        <v>#REF!</v>
      </c>
      <c r="AN65" s="319" t="e">
        <f t="shared" si="21"/>
        <v>#REF!</v>
      </c>
      <c r="AO65" s="319" t="e">
        <f t="shared" si="21"/>
        <v>#REF!</v>
      </c>
      <c r="AP65" s="319" t="e">
        <f t="shared" si="21"/>
        <v>#REF!</v>
      </c>
      <c r="AQ65" s="319" t="e">
        <f t="shared" si="21"/>
        <v>#REF!</v>
      </c>
      <c r="AR65" s="319" t="e">
        <f t="shared" si="21"/>
        <v>#REF!</v>
      </c>
      <c r="AS65" s="319" t="e">
        <f t="shared" si="21"/>
        <v>#REF!</v>
      </c>
      <c r="AT65" s="319" t="e">
        <f t="shared" si="21"/>
        <v>#REF!</v>
      </c>
      <c r="AU65" s="319" t="e">
        <f t="shared" si="21"/>
        <v>#REF!</v>
      </c>
      <c r="AV65" s="319" t="e">
        <f t="shared" si="21"/>
        <v>#REF!</v>
      </c>
      <c r="AW65" s="319" t="e">
        <f t="shared" si="21"/>
        <v>#REF!</v>
      </c>
      <c r="AX65" s="319" t="e">
        <f t="shared" si="21"/>
        <v>#REF!</v>
      </c>
      <c r="AY65" s="319" t="e">
        <f t="shared" si="21"/>
        <v>#REF!</v>
      </c>
      <c r="AZ65" s="319" t="e">
        <f t="shared" si="21"/>
        <v>#REF!</v>
      </c>
      <c r="BA65" s="319" t="e">
        <f t="shared" si="21"/>
        <v>#REF!</v>
      </c>
      <c r="BB65" s="319" t="e">
        <f t="shared" si="21"/>
        <v>#REF!</v>
      </c>
      <c r="BC65" s="319" t="e">
        <f t="shared" si="21"/>
        <v>#REF!</v>
      </c>
      <c r="BD65" s="319" t="e">
        <f t="shared" si="21"/>
        <v>#REF!</v>
      </c>
      <c r="BE65" s="319" t="e">
        <f t="shared" si="21"/>
        <v>#REF!</v>
      </c>
      <c r="BF65" s="319" t="e">
        <f t="shared" si="21"/>
        <v>#REF!</v>
      </c>
      <c r="BG65" s="319" t="e">
        <f t="shared" si="21"/>
        <v>#REF!</v>
      </c>
      <c r="BH65" s="319" t="e">
        <f t="shared" si="21"/>
        <v>#REF!</v>
      </c>
      <c r="BI65" s="319" t="e">
        <f t="shared" si="21"/>
        <v>#REF!</v>
      </c>
      <c r="BJ65" s="319" t="e">
        <f t="shared" si="21"/>
        <v>#REF!</v>
      </c>
      <c r="BK65" s="319" t="e">
        <f t="shared" si="21"/>
        <v>#REF!</v>
      </c>
      <c r="BL65" s="319" t="e">
        <f t="shared" si="21"/>
        <v>#REF!</v>
      </c>
      <c r="BM65" s="319" t="e">
        <f t="shared" si="21"/>
        <v>#REF!</v>
      </c>
      <c r="BN65" s="319" t="e">
        <f t="shared" si="21"/>
        <v>#REF!</v>
      </c>
      <c r="BO65" s="319" t="e">
        <f t="shared" si="21"/>
        <v>#REF!</v>
      </c>
      <c r="BP65" s="319" t="e">
        <f t="shared" si="21"/>
        <v>#REF!</v>
      </c>
      <c r="BQ65" s="319" t="e">
        <f t="shared" si="21"/>
        <v>#REF!</v>
      </c>
      <c r="BR65" s="319" t="e">
        <f t="shared" si="21"/>
        <v>#REF!</v>
      </c>
      <c r="BS65" s="319" t="e">
        <f t="shared" si="21"/>
        <v>#REF!</v>
      </c>
      <c r="BT65" s="319" t="e">
        <f t="shared" si="21"/>
        <v>#REF!</v>
      </c>
      <c r="BU65" s="319" t="e">
        <f t="shared" si="21"/>
        <v>#REF!</v>
      </c>
      <c r="BV65" s="319" t="e">
        <f t="shared" si="21"/>
        <v>#REF!</v>
      </c>
      <c r="BW65" s="319" t="e">
        <f t="shared" si="21"/>
        <v>#REF!</v>
      </c>
      <c r="BX65" s="319" t="e">
        <f t="shared" si="21"/>
        <v>#REF!</v>
      </c>
    </row>
    <row r="66" spans="3:76" hidden="1" outlineLevel="1">
      <c r="C66" s="312"/>
      <c r="D66" s="322" t="s">
        <v>275</v>
      </c>
      <c r="E66" s="321" t="e">
        <f>E65</f>
        <v>#REF!</v>
      </c>
      <c r="F66" s="321" t="e">
        <f t="shared" ref="F66:BX66" si="22">E66+F65</f>
        <v>#REF!</v>
      </c>
      <c r="G66" s="321" t="e">
        <f t="shared" si="22"/>
        <v>#REF!</v>
      </c>
      <c r="H66" s="321" t="e">
        <f t="shared" si="22"/>
        <v>#REF!</v>
      </c>
      <c r="I66" s="321" t="e">
        <f t="shared" si="22"/>
        <v>#REF!</v>
      </c>
      <c r="J66" s="321" t="e">
        <f t="shared" si="22"/>
        <v>#REF!</v>
      </c>
      <c r="K66" s="321" t="e">
        <f t="shared" si="22"/>
        <v>#REF!</v>
      </c>
      <c r="L66" s="321" t="e">
        <f t="shared" si="22"/>
        <v>#REF!</v>
      </c>
      <c r="M66" s="321" t="e">
        <f t="shared" si="22"/>
        <v>#REF!</v>
      </c>
      <c r="N66" s="321" t="e">
        <f t="shared" si="22"/>
        <v>#REF!</v>
      </c>
      <c r="O66" s="321" t="e">
        <f t="shared" si="22"/>
        <v>#REF!</v>
      </c>
      <c r="P66" s="321" t="e">
        <f t="shared" si="22"/>
        <v>#REF!</v>
      </c>
      <c r="Q66" s="321" t="e">
        <f t="shared" si="22"/>
        <v>#REF!</v>
      </c>
      <c r="R66" s="321" t="e">
        <f t="shared" si="22"/>
        <v>#REF!</v>
      </c>
      <c r="S66" s="321" t="e">
        <f t="shared" si="22"/>
        <v>#REF!</v>
      </c>
      <c r="T66" s="321" t="e">
        <f t="shared" si="22"/>
        <v>#REF!</v>
      </c>
      <c r="U66" s="321" t="e">
        <f t="shared" si="22"/>
        <v>#REF!</v>
      </c>
      <c r="V66" s="321" t="e">
        <f t="shared" si="22"/>
        <v>#REF!</v>
      </c>
      <c r="W66" s="321" t="e">
        <f t="shared" si="22"/>
        <v>#REF!</v>
      </c>
      <c r="X66" s="321" t="e">
        <f t="shared" si="22"/>
        <v>#REF!</v>
      </c>
      <c r="Y66" s="321" t="e">
        <f t="shared" si="22"/>
        <v>#REF!</v>
      </c>
      <c r="Z66" s="321" t="e">
        <f t="shared" si="22"/>
        <v>#REF!</v>
      </c>
      <c r="AA66" s="321" t="e">
        <f t="shared" si="22"/>
        <v>#REF!</v>
      </c>
      <c r="AB66" s="321" t="e">
        <f t="shared" si="22"/>
        <v>#REF!</v>
      </c>
      <c r="AC66" s="321" t="e">
        <f t="shared" si="22"/>
        <v>#REF!</v>
      </c>
      <c r="AD66" s="321" t="e">
        <f t="shared" si="22"/>
        <v>#REF!</v>
      </c>
      <c r="AE66" s="321" t="e">
        <f t="shared" si="22"/>
        <v>#REF!</v>
      </c>
      <c r="AF66" s="321" t="e">
        <f t="shared" si="22"/>
        <v>#REF!</v>
      </c>
      <c r="AG66" s="321" t="e">
        <f t="shared" si="22"/>
        <v>#REF!</v>
      </c>
      <c r="AH66" s="321" t="e">
        <f t="shared" si="22"/>
        <v>#REF!</v>
      </c>
      <c r="AI66" s="321" t="e">
        <f t="shared" si="22"/>
        <v>#REF!</v>
      </c>
      <c r="AJ66" s="321" t="e">
        <f t="shared" si="22"/>
        <v>#REF!</v>
      </c>
      <c r="AK66" s="321" t="e">
        <f t="shared" si="22"/>
        <v>#REF!</v>
      </c>
      <c r="AL66" s="321" t="e">
        <f t="shared" si="22"/>
        <v>#REF!</v>
      </c>
      <c r="AM66" s="321" t="e">
        <f t="shared" si="22"/>
        <v>#REF!</v>
      </c>
      <c r="AN66" s="321" t="e">
        <f t="shared" si="22"/>
        <v>#REF!</v>
      </c>
      <c r="AO66" s="321" t="e">
        <f t="shared" si="22"/>
        <v>#REF!</v>
      </c>
      <c r="AP66" s="321" t="e">
        <f t="shared" si="22"/>
        <v>#REF!</v>
      </c>
      <c r="AQ66" s="321" t="e">
        <f t="shared" si="22"/>
        <v>#REF!</v>
      </c>
      <c r="AR66" s="321" t="e">
        <f t="shared" si="22"/>
        <v>#REF!</v>
      </c>
      <c r="AS66" s="321" t="e">
        <f t="shared" si="22"/>
        <v>#REF!</v>
      </c>
      <c r="AT66" s="321" t="e">
        <f t="shared" si="22"/>
        <v>#REF!</v>
      </c>
      <c r="AU66" s="321" t="e">
        <f t="shared" si="22"/>
        <v>#REF!</v>
      </c>
      <c r="AV66" s="321" t="e">
        <f t="shared" si="22"/>
        <v>#REF!</v>
      </c>
      <c r="AW66" s="321" t="e">
        <f t="shared" si="22"/>
        <v>#REF!</v>
      </c>
      <c r="AX66" s="321" t="e">
        <f t="shared" si="22"/>
        <v>#REF!</v>
      </c>
      <c r="AY66" s="321" t="e">
        <f t="shared" si="22"/>
        <v>#REF!</v>
      </c>
      <c r="AZ66" s="321" t="e">
        <f t="shared" si="22"/>
        <v>#REF!</v>
      </c>
      <c r="BA66" s="321" t="e">
        <f t="shared" si="22"/>
        <v>#REF!</v>
      </c>
      <c r="BB66" s="321" t="e">
        <f t="shared" si="22"/>
        <v>#REF!</v>
      </c>
      <c r="BC66" s="321" t="e">
        <f t="shared" si="22"/>
        <v>#REF!</v>
      </c>
      <c r="BD66" s="321" t="e">
        <f t="shared" si="22"/>
        <v>#REF!</v>
      </c>
      <c r="BE66" s="321" t="e">
        <f t="shared" si="22"/>
        <v>#REF!</v>
      </c>
      <c r="BF66" s="321" t="e">
        <f t="shared" si="22"/>
        <v>#REF!</v>
      </c>
      <c r="BG66" s="321" t="e">
        <f t="shared" si="22"/>
        <v>#REF!</v>
      </c>
      <c r="BH66" s="321" t="e">
        <f t="shared" si="22"/>
        <v>#REF!</v>
      </c>
      <c r="BI66" s="321" t="e">
        <f t="shared" si="22"/>
        <v>#REF!</v>
      </c>
      <c r="BJ66" s="321" t="e">
        <f t="shared" si="22"/>
        <v>#REF!</v>
      </c>
      <c r="BK66" s="321" t="e">
        <f t="shared" si="22"/>
        <v>#REF!</v>
      </c>
      <c r="BL66" s="321" t="e">
        <f t="shared" si="22"/>
        <v>#REF!</v>
      </c>
      <c r="BM66" s="321" t="e">
        <f t="shared" si="22"/>
        <v>#REF!</v>
      </c>
      <c r="BN66" s="321" t="e">
        <f t="shared" si="22"/>
        <v>#REF!</v>
      </c>
      <c r="BO66" s="321" t="e">
        <f t="shared" si="22"/>
        <v>#REF!</v>
      </c>
      <c r="BP66" s="321" t="e">
        <f t="shared" si="22"/>
        <v>#REF!</v>
      </c>
      <c r="BQ66" s="321" t="e">
        <f t="shared" si="22"/>
        <v>#REF!</v>
      </c>
      <c r="BR66" s="321" t="e">
        <f t="shared" si="22"/>
        <v>#REF!</v>
      </c>
      <c r="BS66" s="321" t="e">
        <f t="shared" si="22"/>
        <v>#REF!</v>
      </c>
      <c r="BT66" s="321" t="e">
        <f t="shared" si="22"/>
        <v>#REF!</v>
      </c>
      <c r="BU66" s="321" t="e">
        <f t="shared" si="22"/>
        <v>#REF!</v>
      </c>
      <c r="BV66" s="321" t="e">
        <f t="shared" si="22"/>
        <v>#REF!</v>
      </c>
      <c r="BW66" s="321" t="e">
        <f t="shared" si="22"/>
        <v>#REF!</v>
      </c>
      <c r="BX66" s="321" t="e">
        <f t="shared" si="22"/>
        <v>#REF!</v>
      </c>
    </row>
    <row r="67" spans="3:76" hidden="1" outlineLevel="1">
      <c r="C67" s="311" t="s">
        <v>261</v>
      </c>
      <c r="D67" s="322" t="e">
        <f>IRR(L65:AI65)*12</f>
        <v>#VALUE!</v>
      </c>
      <c r="E67" s="229"/>
      <c r="F67" s="229"/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29"/>
      <c r="Y67" s="229"/>
      <c r="Z67" s="229"/>
      <c r="AA67" s="229"/>
      <c r="AB67" s="229"/>
      <c r="AC67" s="229"/>
      <c r="AD67" s="229"/>
      <c r="AE67" s="229"/>
      <c r="AF67" s="229"/>
      <c r="AG67" s="229"/>
      <c r="AH67" s="229"/>
      <c r="AI67" s="229"/>
      <c r="AJ67" s="229"/>
      <c r="AK67" s="229"/>
      <c r="AL67" s="229"/>
      <c r="AM67" s="229"/>
      <c r="AN67" s="229"/>
      <c r="AO67" s="229"/>
      <c r="AP67" s="229"/>
      <c r="AQ67" s="229"/>
      <c r="AR67" s="229"/>
      <c r="AS67" s="229"/>
      <c r="AT67" s="229"/>
      <c r="AU67" s="229"/>
      <c r="AV67" s="229"/>
      <c r="AW67" s="229"/>
      <c r="AX67" s="229"/>
      <c r="AY67" s="229"/>
      <c r="AZ67" s="229"/>
      <c r="BA67" s="229"/>
      <c r="BB67" s="229"/>
      <c r="BC67" s="229"/>
      <c r="BD67" s="229"/>
      <c r="BE67" s="229"/>
      <c r="BF67" s="229"/>
      <c r="BG67" s="229"/>
      <c r="BH67" s="229"/>
      <c r="BI67" s="229"/>
      <c r="BJ67" s="229"/>
      <c r="BK67" s="229"/>
      <c r="BL67" s="229"/>
      <c r="BM67" s="229"/>
      <c r="BN67" s="229"/>
      <c r="BO67" s="229"/>
      <c r="BP67" s="229"/>
      <c r="BQ67" s="229"/>
      <c r="BR67" s="229"/>
      <c r="BS67" s="229"/>
      <c r="BT67" s="229"/>
      <c r="BU67" s="229"/>
      <c r="BV67" s="229"/>
      <c r="BW67" s="229"/>
      <c r="BX67" s="229"/>
    </row>
    <row r="68" spans="3:76" hidden="1" outlineLevel="1">
      <c r="C68" s="323" t="s">
        <v>269</v>
      </c>
      <c r="D68" s="324" t="e">
        <f>-MIN(E66:BL66)</f>
        <v>#REF!</v>
      </c>
      <c r="E68" s="229"/>
      <c r="F68" s="229"/>
      <c r="G68" s="229"/>
      <c r="H68" s="229"/>
      <c r="I68" s="229"/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  <c r="U68" s="229"/>
      <c r="V68" s="229"/>
      <c r="W68" s="229"/>
      <c r="X68" s="229"/>
      <c r="Y68" s="229"/>
      <c r="Z68" s="229"/>
      <c r="AA68" s="229"/>
      <c r="AB68" s="229"/>
      <c r="AC68" s="229"/>
      <c r="AD68" s="229"/>
      <c r="AE68" s="229"/>
      <c r="AF68" s="229"/>
      <c r="AG68" s="229"/>
      <c r="AH68" s="229"/>
      <c r="AI68" s="229"/>
      <c r="AJ68" s="229"/>
      <c r="AK68" s="229"/>
      <c r="AL68" s="229"/>
      <c r="AM68" s="229"/>
      <c r="AN68" s="229"/>
      <c r="AO68" s="229"/>
      <c r="AP68" s="229"/>
      <c r="AQ68" s="229"/>
      <c r="AR68" s="229"/>
      <c r="AS68" s="229"/>
      <c r="AT68" s="229"/>
      <c r="AU68" s="229"/>
      <c r="AV68" s="229"/>
      <c r="AW68" s="229"/>
      <c r="AX68" s="229"/>
      <c r="AY68" s="229"/>
      <c r="AZ68" s="229"/>
      <c r="BA68" s="229"/>
      <c r="BB68" s="229"/>
      <c r="BC68" s="229"/>
      <c r="BD68" s="229"/>
      <c r="BE68" s="229"/>
      <c r="BF68" s="229"/>
      <c r="BG68" s="229"/>
      <c r="BH68" s="229"/>
      <c r="BI68" s="229"/>
      <c r="BJ68" s="229"/>
      <c r="BK68" s="229"/>
      <c r="BL68" s="229"/>
      <c r="BM68" s="229"/>
      <c r="BN68" s="229"/>
      <c r="BO68" s="229"/>
      <c r="BP68" s="229"/>
      <c r="BQ68" s="229"/>
      <c r="BR68" s="229"/>
      <c r="BS68" s="229"/>
      <c r="BT68" s="229"/>
      <c r="BU68" s="229"/>
      <c r="BV68" s="229"/>
      <c r="BW68" s="229"/>
      <c r="BX68" s="229"/>
    </row>
    <row r="69" spans="3:76" hidden="1" outlineLevel="1">
      <c r="C69" s="323" t="s">
        <v>276</v>
      </c>
      <c r="D69" s="324"/>
      <c r="E69" s="229"/>
      <c r="F69" s="229"/>
      <c r="G69" s="229"/>
      <c r="H69" s="229"/>
      <c r="I69" s="229"/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  <c r="U69" s="229"/>
      <c r="V69" s="229"/>
      <c r="W69" s="229"/>
      <c r="X69" s="229"/>
      <c r="Y69" s="229"/>
      <c r="Z69" s="229"/>
      <c r="AA69" s="229"/>
      <c r="AB69" s="229"/>
      <c r="AC69" s="229"/>
      <c r="AD69" s="229"/>
      <c r="AE69" s="229"/>
      <c r="AF69" s="229"/>
      <c r="AG69" s="229"/>
      <c r="AH69" s="229"/>
      <c r="AI69" s="229"/>
      <c r="AJ69" s="229"/>
      <c r="AK69" s="229"/>
      <c r="AL69" s="229"/>
      <c r="AM69" s="229"/>
      <c r="AN69" s="229"/>
      <c r="AO69" s="229"/>
      <c r="AP69" s="229"/>
      <c r="AQ69" s="229"/>
      <c r="AR69" s="229"/>
      <c r="AS69" s="229"/>
      <c r="AT69" s="229"/>
      <c r="AU69" s="229"/>
      <c r="AV69" s="229"/>
      <c r="AW69" s="229"/>
      <c r="AX69" s="229"/>
      <c r="AY69" s="229"/>
      <c r="AZ69" s="229"/>
      <c r="BA69" s="229"/>
      <c r="BB69" s="229"/>
      <c r="BC69" s="229"/>
      <c r="BD69" s="229"/>
      <c r="BE69" s="229"/>
      <c r="BF69" s="229"/>
      <c r="BG69" s="229"/>
      <c r="BH69" s="229"/>
      <c r="BI69" s="229"/>
      <c r="BJ69" s="229"/>
      <c r="BK69" s="229"/>
      <c r="BL69" s="229"/>
      <c r="BM69" s="229"/>
      <c r="BN69" s="229"/>
      <c r="BO69" s="229"/>
      <c r="BP69" s="229"/>
      <c r="BQ69" s="229"/>
      <c r="BR69" s="229"/>
      <c r="BS69" s="229"/>
      <c r="BT69" s="229"/>
      <c r="BU69" s="229"/>
      <c r="BV69" s="229"/>
      <c r="BW69" s="229"/>
      <c r="BX69" s="229"/>
    </row>
    <row r="70" spans="3:76" hidden="1" outlineLevel="1">
      <c r="C70" s="311" t="s">
        <v>270</v>
      </c>
      <c r="D70" s="325" t="e">
        <f>D69+D68</f>
        <v>#REF!</v>
      </c>
      <c r="E70" s="229"/>
      <c r="F70" s="229"/>
      <c r="G70" s="229"/>
      <c r="H70" s="229"/>
      <c r="I70" s="229"/>
      <c r="J70" s="229"/>
      <c r="K70" s="229"/>
      <c r="L70" s="229"/>
      <c r="M70" s="229"/>
      <c r="N70" s="229"/>
      <c r="O70" s="229"/>
      <c r="P70" s="229"/>
      <c r="Q70" s="229"/>
      <c r="R70" s="229"/>
      <c r="S70" s="229"/>
      <c r="T70" s="229"/>
      <c r="U70" s="229"/>
      <c r="V70" s="229"/>
      <c r="W70" s="229"/>
      <c r="X70" s="229"/>
      <c r="Y70" s="229"/>
      <c r="Z70" s="229"/>
      <c r="AA70" s="229"/>
      <c r="AB70" s="229"/>
      <c r="AC70" s="229"/>
      <c r="AD70" s="229"/>
      <c r="AE70" s="229"/>
      <c r="AF70" s="229"/>
      <c r="AG70" s="229"/>
      <c r="AH70" s="229"/>
      <c r="AI70" s="229"/>
      <c r="AJ70" s="229"/>
      <c r="AK70" s="229"/>
      <c r="AL70" s="229"/>
      <c r="AM70" s="229"/>
      <c r="AN70" s="229"/>
      <c r="AO70" s="229"/>
      <c r="AP70" s="229"/>
      <c r="AQ70" s="229"/>
      <c r="AR70" s="229"/>
      <c r="AS70" s="229"/>
      <c r="AT70" s="229"/>
      <c r="AU70" s="229"/>
      <c r="AV70" s="229"/>
      <c r="AW70" s="229"/>
      <c r="AX70" s="229"/>
      <c r="AY70" s="229"/>
      <c r="AZ70" s="229"/>
      <c r="BA70" s="229"/>
      <c r="BB70" s="229"/>
      <c r="BC70" s="229"/>
      <c r="BD70" s="229"/>
      <c r="BE70" s="229"/>
      <c r="BF70" s="229"/>
      <c r="BG70" s="229"/>
      <c r="BH70" s="229"/>
      <c r="BI70" s="229"/>
      <c r="BJ70" s="229"/>
      <c r="BK70" s="229"/>
      <c r="BL70" s="229"/>
      <c r="BM70" s="229"/>
      <c r="BN70" s="229"/>
      <c r="BO70" s="229"/>
      <c r="BP70" s="229"/>
      <c r="BQ70" s="229"/>
      <c r="BR70" s="229"/>
      <c r="BS70" s="229"/>
      <c r="BT70" s="229"/>
      <c r="BU70" s="229"/>
      <c r="BV70" s="229"/>
      <c r="BW70" s="229"/>
      <c r="BX70" s="229"/>
    </row>
    <row r="71" spans="3:76" hidden="1" outlineLevel="1">
      <c r="C71" s="311" t="s">
        <v>271</v>
      </c>
      <c r="D71" s="325">
        <f>AI62+AI64</f>
        <v>0</v>
      </c>
      <c r="E71" s="229"/>
      <c r="F71" s="229"/>
      <c r="G71" s="229"/>
      <c r="H71" s="229"/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229"/>
      <c r="U71" s="229"/>
      <c r="V71" s="229"/>
      <c r="W71" s="229"/>
      <c r="X71" s="229"/>
      <c r="Y71" s="229"/>
      <c r="Z71" s="229"/>
      <c r="AA71" s="229"/>
      <c r="AB71" s="229"/>
      <c r="AC71" s="229"/>
      <c r="AD71" s="229"/>
      <c r="AE71" s="229"/>
      <c r="AF71" s="229"/>
      <c r="AG71" s="229"/>
      <c r="AH71" s="229"/>
      <c r="AI71" s="229"/>
      <c r="AJ71" s="229"/>
      <c r="AK71" s="229"/>
      <c r="AL71" s="229"/>
      <c r="AM71" s="229"/>
      <c r="AN71" s="229"/>
      <c r="AO71" s="229"/>
      <c r="AP71" s="229"/>
      <c r="AQ71" s="229"/>
      <c r="AR71" s="229"/>
      <c r="AS71" s="229"/>
      <c r="AT71" s="229"/>
      <c r="AU71" s="229"/>
      <c r="AV71" s="229"/>
      <c r="AW71" s="229"/>
      <c r="AX71" s="229"/>
      <c r="AY71" s="229"/>
      <c r="AZ71" s="229"/>
      <c r="BA71" s="229"/>
      <c r="BB71" s="229"/>
      <c r="BC71" s="229"/>
      <c r="BD71" s="229"/>
      <c r="BE71" s="229"/>
      <c r="BF71" s="229"/>
      <c r="BG71" s="229"/>
      <c r="BH71" s="229"/>
      <c r="BI71" s="229"/>
      <c r="BJ71" s="229"/>
      <c r="BK71" s="229"/>
      <c r="BL71" s="229"/>
      <c r="BM71" s="229"/>
      <c r="BN71" s="229"/>
      <c r="BO71" s="229"/>
      <c r="BP71" s="229"/>
      <c r="BQ71" s="229"/>
      <c r="BR71" s="229"/>
      <c r="BS71" s="229"/>
      <c r="BT71" s="229"/>
      <c r="BU71" s="229"/>
      <c r="BV71" s="229"/>
      <c r="BW71" s="229"/>
      <c r="BX71" s="229"/>
    </row>
    <row r="72" spans="3:76" hidden="1" outlineLevel="1">
      <c r="C72" s="311" t="s">
        <v>272</v>
      </c>
      <c r="D72" s="322" t="e">
        <f>(D71-D69)/D70</f>
        <v>#REF!</v>
      </c>
      <c r="E72" s="229"/>
      <c r="F72" s="229"/>
      <c r="G72" s="229"/>
      <c r="H72" s="229"/>
      <c r="I72" s="229"/>
      <c r="J72" s="229"/>
      <c r="K72" s="229"/>
      <c r="L72" s="229"/>
      <c r="M72" s="229"/>
      <c r="N72" s="229"/>
      <c r="O72" s="229"/>
      <c r="P72" s="229"/>
      <c r="Q72" s="229"/>
      <c r="R72" s="229"/>
      <c r="S72" s="229"/>
      <c r="T72" s="229"/>
      <c r="U72" s="229"/>
      <c r="V72" s="229"/>
      <c r="W72" s="229"/>
      <c r="X72" s="229"/>
      <c r="Y72" s="229"/>
      <c r="Z72" s="229"/>
      <c r="AA72" s="229"/>
      <c r="AB72" s="229"/>
      <c r="AC72" s="229"/>
      <c r="AD72" s="229"/>
      <c r="AE72" s="229"/>
      <c r="AF72" s="229"/>
      <c r="AG72" s="229"/>
      <c r="AH72" s="229"/>
      <c r="AI72" s="229"/>
      <c r="AJ72" s="229"/>
      <c r="AK72" s="229"/>
      <c r="AL72" s="229"/>
      <c r="AM72" s="229"/>
      <c r="AN72" s="229"/>
      <c r="AO72" s="229"/>
      <c r="AP72" s="229"/>
      <c r="AQ72" s="229"/>
      <c r="AR72" s="229"/>
      <c r="AS72" s="229"/>
      <c r="AT72" s="229"/>
      <c r="AU72" s="229"/>
      <c r="AV72" s="229"/>
      <c r="AW72" s="229"/>
      <c r="AX72" s="229"/>
      <c r="AY72" s="229"/>
      <c r="AZ72" s="229"/>
      <c r="BA72" s="229"/>
      <c r="BB72" s="229"/>
      <c r="BC72" s="229"/>
      <c r="BD72" s="229"/>
      <c r="BE72" s="229"/>
      <c r="BF72" s="229"/>
      <c r="BG72" s="229"/>
      <c r="BH72" s="229"/>
      <c r="BI72" s="229"/>
      <c r="BJ72" s="229"/>
      <c r="BK72" s="229"/>
      <c r="BL72" s="229"/>
      <c r="BM72" s="229"/>
      <c r="BN72" s="229"/>
      <c r="BO72" s="229"/>
      <c r="BP72" s="229"/>
      <c r="BQ72" s="229"/>
      <c r="BR72" s="229"/>
      <c r="BS72" s="229"/>
      <c r="BT72" s="229"/>
      <c r="BU72" s="229"/>
      <c r="BV72" s="229"/>
      <c r="BW72" s="229"/>
      <c r="BX72" s="229"/>
    </row>
    <row r="73" spans="3:76" hidden="1">
      <c r="E73" s="229"/>
      <c r="F73" s="229"/>
      <c r="G73" s="229"/>
      <c r="H73" s="229"/>
      <c r="I73" s="229"/>
      <c r="J73" s="229"/>
      <c r="K73" s="229"/>
      <c r="L73" s="229"/>
      <c r="M73" s="229"/>
      <c r="N73" s="229"/>
      <c r="O73" s="229"/>
      <c r="P73" s="229"/>
      <c r="Q73" s="229"/>
      <c r="R73" s="229"/>
      <c r="S73" s="229"/>
      <c r="T73" s="229"/>
      <c r="U73" s="229"/>
      <c r="V73" s="229"/>
      <c r="W73" s="229"/>
      <c r="X73" s="229"/>
      <c r="Y73" s="229"/>
      <c r="Z73" s="229"/>
      <c r="AA73" s="229"/>
      <c r="AB73" s="229"/>
      <c r="AC73" s="229"/>
      <c r="AD73" s="229"/>
      <c r="AE73" s="229"/>
      <c r="AF73" s="229"/>
      <c r="AG73" s="229"/>
      <c r="AH73" s="229"/>
      <c r="AI73" s="229"/>
      <c r="AJ73" s="229"/>
      <c r="AK73" s="229"/>
      <c r="AL73" s="229"/>
      <c r="AM73" s="229"/>
      <c r="AN73" s="229"/>
      <c r="AO73" s="229"/>
      <c r="AP73" s="229"/>
      <c r="AQ73" s="229"/>
      <c r="AR73" s="229"/>
      <c r="AS73" s="229"/>
      <c r="AT73" s="229"/>
      <c r="AU73" s="229"/>
      <c r="AV73" s="229"/>
      <c r="AW73" s="229"/>
      <c r="AX73" s="229"/>
      <c r="AY73" s="229"/>
      <c r="AZ73" s="229"/>
      <c r="BA73" s="229"/>
      <c r="BB73" s="229"/>
      <c r="BC73" s="229"/>
      <c r="BD73" s="229"/>
      <c r="BE73" s="229"/>
      <c r="BF73" s="229"/>
      <c r="BG73" s="229"/>
      <c r="BH73" s="229"/>
      <c r="BI73" s="229"/>
      <c r="BJ73" s="229"/>
      <c r="BK73" s="229"/>
      <c r="BL73" s="229"/>
      <c r="BM73" s="229"/>
      <c r="BN73" s="229"/>
      <c r="BO73" s="229"/>
      <c r="BP73" s="229"/>
      <c r="BQ73" s="229"/>
      <c r="BR73" s="229"/>
      <c r="BS73" s="229"/>
      <c r="BT73" s="229"/>
      <c r="BU73" s="229"/>
      <c r="BV73" s="229"/>
      <c r="BW73" s="229"/>
      <c r="BX73" s="229"/>
    </row>
    <row r="74" spans="3:76" hidden="1"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29"/>
      <c r="AB74" s="229"/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29"/>
      <c r="BD74" s="229"/>
      <c r="BE74" s="229"/>
      <c r="BF74" s="229"/>
      <c r="BG74" s="229"/>
      <c r="BH74" s="229"/>
      <c r="BI74" s="229"/>
      <c r="BJ74" s="229"/>
      <c r="BK74" s="229"/>
      <c r="BL74" s="229"/>
      <c r="BM74" s="229"/>
      <c r="BN74" s="229"/>
      <c r="BO74" s="229"/>
      <c r="BP74" s="229"/>
      <c r="BQ74" s="229"/>
      <c r="BR74" s="229"/>
      <c r="BS74" s="229"/>
      <c r="BT74" s="229"/>
      <c r="BU74" s="229"/>
      <c r="BV74" s="229"/>
      <c r="BW74" s="229"/>
      <c r="BX74" s="229"/>
    </row>
    <row r="75" spans="3:76" hidden="1">
      <c r="E75" s="229"/>
      <c r="F75" s="229"/>
      <c r="G75" s="229"/>
      <c r="H75" s="229"/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  <c r="U75" s="229"/>
      <c r="V75" s="229"/>
      <c r="W75" s="229"/>
      <c r="X75" s="229"/>
      <c r="Y75" s="229"/>
      <c r="Z75" s="229"/>
      <c r="AA75" s="229"/>
      <c r="AB75" s="229"/>
      <c r="AC75" s="229"/>
      <c r="AD75" s="229"/>
      <c r="AE75" s="229"/>
      <c r="AF75" s="229"/>
      <c r="AG75" s="229"/>
      <c r="AH75" s="229"/>
      <c r="AI75" s="229"/>
      <c r="AJ75" s="229"/>
      <c r="AK75" s="229"/>
      <c r="AL75" s="229"/>
      <c r="AM75" s="229"/>
      <c r="AN75" s="229"/>
      <c r="AO75" s="229"/>
      <c r="AP75" s="229"/>
      <c r="AQ75" s="229"/>
      <c r="AR75" s="229"/>
      <c r="AS75" s="229"/>
      <c r="AT75" s="229"/>
      <c r="AU75" s="229"/>
      <c r="AV75" s="229"/>
      <c r="AW75" s="229"/>
      <c r="AX75" s="229"/>
      <c r="AY75" s="229"/>
      <c r="AZ75" s="229"/>
      <c r="BA75" s="229"/>
      <c r="BB75" s="229"/>
      <c r="BC75" s="229"/>
      <c r="BD75" s="229"/>
      <c r="BE75" s="229"/>
      <c r="BF75" s="229"/>
      <c r="BG75" s="229"/>
      <c r="BH75" s="229"/>
      <c r="BI75" s="229"/>
      <c r="BJ75" s="229"/>
      <c r="BK75" s="229"/>
      <c r="BL75" s="229"/>
      <c r="BM75" s="229"/>
      <c r="BN75" s="229"/>
      <c r="BO75" s="229"/>
      <c r="BP75" s="229"/>
      <c r="BQ75" s="229"/>
      <c r="BR75" s="229"/>
      <c r="BS75" s="229"/>
      <c r="BT75" s="229"/>
      <c r="BU75" s="229"/>
      <c r="BV75" s="229"/>
      <c r="BW75" s="229"/>
      <c r="BX75" s="229"/>
    </row>
    <row r="76" spans="3:76" hidden="1" collapsed="1">
      <c r="C76" s="308" t="s">
        <v>277</v>
      </c>
      <c r="D76" s="309"/>
      <c r="E76" s="309" t="e">
        <f t="shared" ref="E76:BX76" si="23">-(#REF!+E30)</f>
        <v>#REF!</v>
      </c>
      <c r="F76" s="309" t="e">
        <f t="shared" si="23"/>
        <v>#REF!</v>
      </c>
      <c r="G76" s="309" t="e">
        <f t="shared" si="23"/>
        <v>#REF!</v>
      </c>
      <c r="H76" s="309" t="e">
        <f t="shared" si="23"/>
        <v>#REF!</v>
      </c>
      <c r="I76" s="309" t="e">
        <f t="shared" si="23"/>
        <v>#REF!</v>
      </c>
      <c r="J76" s="309" t="e">
        <f t="shared" si="23"/>
        <v>#REF!</v>
      </c>
      <c r="K76" s="309" t="e">
        <f t="shared" si="23"/>
        <v>#REF!</v>
      </c>
      <c r="L76" s="309" t="e">
        <f t="shared" si="23"/>
        <v>#REF!</v>
      </c>
      <c r="M76" s="309" t="e">
        <f t="shared" si="23"/>
        <v>#REF!</v>
      </c>
      <c r="N76" s="309" t="e">
        <f t="shared" si="23"/>
        <v>#REF!</v>
      </c>
      <c r="O76" s="309" t="e">
        <f t="shared" si="23"/>
        <v>#REF!</v>
      </c>
      <c r="P76" s="309" t="e">
        <f t="shared" si="23"/>
        <v>#REF!</v>
      </c>
      <c r="Q76" s="309" t="e">
        <f t="shared" si="23"/>
        <v>#REF!</v>
      </c>
      <c r="R76" s="309" t="e">
        <f t="shared" si="23"/>
        <v>#REF!</v>
      </c>
      <c r="S76" s="309" t="e">
        <f t="shared" si="23"/>
        <v>#REF!</v>
      </c>
      <c r="T76" s="309" t="e">
        <f t="shared" si="23"/>
        <v>#REF!</v>
      </c>
      <c r="U76" s="309" t="e">
        <f t="shared" si="23"/>
        <v>#REF!</v>
      </c>
      <c r="V76" s="309" t="e">
        <f t="shared" si="23"/>
        <v>#REF!</v>
      </c>
      <c r="W76" s="309" t="e">
        <f t="shared" si="23"/>
        <v>#REF!</v>
      </c>
      <c r="X76" s="309" t="e">
        <f t="shared" si="23"/>
        <v>#REF!</v>
      </c>
      <c r="Y76" s="309" t="e">
        <f t="shared" si="23"/>
        <v>#REF!</v>
      </c>
      <c r="Z76" s="309" t="e">
        <f t="shared" si="23"/>
        <v>#REF!</v>
      </c>
      <c r="AA76" s="309" t="e">
        <f t="shared" si="23"/>
        <v>#REF!</v>
      </c>
      <c r="AB76" s="309" t="e">
        <f t="shared" si="23"/>
        <v>#REF!</v>
      </c>
      <c r="AC76" s="309" t="e">
        <f t="shared" si="23"/>
        <v>#REF!</v>
      </c>
      <c r="AD76" s="309" t="e">
        <f t="shared" si="23"/>
        <v>#REF!</v>
      </c>
      <c r="AE76" s="309" t="e">
        <f t="shared" si="23"/>
        <v>#REF!</v>
      </c>
      <c r="AF76" s="309" t="e">
        <f t="shared" si="23"/>
        <v>#REF!</v>
      </c>
      <c r="AG76" s="309" t="e">
        <f t="shared" si="23"/>
        <v>#REF!</v>
      </c>
      <c r="AH76" s="309" t="e">
        <f t="shared" si="23"/>
        <v>#REF!</v>
      </c>
      <c r="AI76" s="309" t="e">
        <f t="shared" si="23"/>
        <v>#REF!</v>
      </c>
      <c r="AJ76" s="309" t="e">
        <f t="shared" si="23"/>
        <v>#REF!</v>
      </c>
      <c r="AK76" s="309" t="e">
        <f t="shared" si="23"/>
        <v>#REF!</v>
      </c>
      <c r="AL76" s="309" t="e">
        <f t="shared" si="23"/>
        <v>#REF!</v>
      </c>
      <c r="AM76" s="309" t="e">
        <f t="shared" si="23"/>
        <v>#REF!</v>
      </c>
      <c r="AN76" s="309" t="e">
        <f t="shared" si="23"/>
        <v>#REF!</v>
      </c>
      <c r="AO76" s="309" t="e">
        <f t="shared" si="23"/>
        <v>#REF!</v>
      </c>
      <c r="AP76" s="309" t="e">
        <f t="shared" si="23"/>
        <v>#REF!</v>
      </c>
      <c r="AQ76" s="309" t="e">
        <f t="shared" si="23"/>
        <v>#REF!</v>
      </c>
      <c r="AR76" s="309" t="e">
        <f t="shared" si="23"/>
        <v>#REF!</v>
      </c>
      <c r="AS76" s="309" t="e">
        <f t="shared" si="23"/>
        <v>#REF!</v>
      </c>
      <c r="AT76" s="309" t="e">
        <f t="shared" si="23"/>
        <v>#REF!</v>
      </c>
      <c r="AU76" s="309" t="e">
        <f t="shared" si="23"/>
        <v>#REF!</v>
      </c>
      <c r="AV76" s="309" t="e">
        <f t="shared" si="23"/>
        <v>#REF!</v>
      </c>
      <c r="AW76" s="309" t="e">
        <f t="shared" si="23"/>
        <v>#REF!</v>
      </c>
      <c r="AX76" s="309" t="e">
        <f t="shared" si="23"/>
        <v>#REF!</v>
      </c>
      <c r="AY76" s="309" t="e">
        <f t="shared" si="23"/>
        <v>#REF!</v>
      </c>
      <c r="AZ76" s="309" t="e">
        <f t="shared" si="23"/>
        <v>#REF!</v>
      </c>
      <c r="BA76" s="309" t="e">
        <f t="shared" si="23"/>
        <v>#REF!</v>
      </c>
      <c r="BB76" s="309" t="e">
        <f t="shared" si="23"/>
        <v>#REF!</v>
      </c>
      <c r="BC76" s="309" t="e">
        <f t="shared" si="23"/>
        <v>#REF!</v>
      </c>
      <c r="BD76" s="309" t="e">
        <f t="shared" si="23"/>
        <v>#REF!</v>
      </c>
      <c r="BE76" s="309" t="e">
        <f t="shared" si="23"/>
        <v>#REF!</v>
      </c>
      <c r="BF76" s="309" t="e">
        <f t="shared" si="23"/>
        <v>#REF!</v>
      </c>
      <c r="BG76" s="309" t="e">
        <f t="shared" si="23"/>
        <v>#REF!</v>
      </c>
      <c r="BH76" s="309" t="e">
        <f t="shared" si="23"/>
        <v>#REF!</v>
      </c>
      <c r="BI76" s="309" t="e">
        <f t="shared" si="23"/>
        <v>#REF!</v>
      </c>
      <c r="BJ76" s="309" t="e">
        <f t="shared" si="23"/>
        <v>#REF!</v>
      </c>
      <c r="BK76" s="309" t="e">
        <f t="shared" si="23"/>
        <v>#REF!</v>
      </c>
      <c r="BL76" s="309" t="e">
        <f t="shared" si="23"/>
        <v>#REF!</v>
      </c>
      <c r="BM76" s="309" t="e">
        <f t="shared" si="23"/>
        <v>#REF!</v>
      </c>
      <c r="BN76" s="309" t="e">
        <f t="shared" si="23"/>
        <v>#REF!</v>
      </c>
      <c r="BO76" s="309" t="e">
        <f t="shared" si="23"/>
        <v>#REF!</v>
      </c>
      <c r="BP76" s="309" t="e">
        <f t="shared" si="23"/>
        <v>#REF!</v>
      </c>
      <c r="BQ76" s="309" t="e">
        <f t="shared" si="23"/>
        <v>#REF!</v>
      </c>
      <c r="BR76" s="309" t="e">
        <f t="shared" si="23"/>
        <v>#REF!</v>
      </c>
      <c r="BS76" s="309" t="e">
        <f t="shared" si="23"/>
        <v>#REF!</v>
      </c>
      <c r="BT76" s="309" t="e">
        <f t="shared" si="23"/>
        <v>#REF!</v>
      </c>
      <c r="BU76" s="309" t="e">
        <f t="shared" si="23"/>
        <v>#REF!</v>
      </c>
      <c r="BV76" s="309" t="e">
        <f t="shared" si="23"/>
        <v>#REF!</v>
      </c>
      <c r="BW76" s="309" t="e">
        <f t="shared" si="23"/>
        <v>#REF!</v>
      </c>
      <c r="BX76" s="309" t="e">
        <f t="shared" si="23"/>
        <v>#REF!</v>
      </c>
    </row>
    <row r="77" spans="3:76" hidden="1" outlineLevel="1">
      <c r="C77" s="308" t="s">
        <v>274</v>
      </c>
      <c r="D77" s="317"/>
      <c r="E77" s="309"/>
      <c r="F77" s="309"/>
      <c r="G77" s="309"/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309"/>
      <c r="AA77" s="309"/>
      <c r="AB77" s="309"/>
      <c r="AC77" s="309"/>
      <c r="AD77" s="309"/>
      <c r="AE77" s="309"/>
      <c r="AF77" s="309"/>
      <c r="AG77" s="309"/>
      <c r="AH77" s="309"/>
      <c r="AI77" s="309"/>
      <c r="AJ77" s="309"/>
      <c r="AK77" s="309"/>
      <c r="AL77" s="309"/>
      <c r="AM77" s="309"/>
      <c r="AN77" s="309"/>
      <c r="AO77" s="309"/>
      <c r="AP77" s="309"/>
      <c r="AQ77" s="309"/>
      <c r="AR77" s="309"/>
      <c r="AS77" s="309"/>
      <c r="AT77" s="309"/>
      <c r="AU77" s="309"/>
      <c r="AV77" s="309"/>
      <c r="AW77" s="309"/>
      <c r="AX77" s="309"/>
      <c r="AY77" s="309"/>
      <c r="AZ77" s="309"/>
      <c r="BA77" s="309"/>
      <c r="BB77" s="309"/>
      <c r="BC77" s="309"/>
      <c r="BD77" s="309"/>
      <c r="BE77" s="309"/>
      <c r="BF77" s="309"/>
      <c r="BG77" s="309"/>
      <c r="BH77" s="309"/>
      <c r="BI77" s="309"/>
      <c r="BJ77" s="309"/>
      <c r="BK77" s="309"/>
      <c r="BL77" s="309"/>
      <c r="BM77" s="309"/>
      <c r="BN77" s="309"/>
      <c r="BO77" s="309"/>
      <c r="BP77" s="309"/>
      <c r="BQ77" s="309"/>
      <c r="BR77" s="309"/>
      <c r="BS77" s="309"/>
      <c r="BT77" s="309"/>
      <c r="BU77" s="309"/>
      <c r="BV77" s="309"/>
      <c r="BW77" s="309"/>
      <c r="BX77" s="309"/>
    </row>
    <row r="78" spans="3:76" hidden="1" outlineLevel="1">
      <c r="C78" s="308" t="s">
        <v>265</v>
      </c>
      <c r="D78" s="317"/>
      <c r="E78" s="309">
        <f t="shared" ref="E78:BX78" si="24">-E8</f>
        <v>0</v>
      </c>
      <c r="F78" s="309">
        <f t="shared" si="24"/>
        <v>0</v>
      </c>
      <c r="G78" s="309">
        <f t="shared" si="24"/>
        <v>0</v>
      </c>
      <c r="H78" s="309">
        <f t="shared" si="24"/>
        <v>0</v>
      </c>
      <c r="I78" s="309">
        <f t="shared" si="24"/>
        <v>0</v>
      </c>
      <c r="J78" s="309">
        <f t="shared" si="24"/>
        <v>0</v>
      </c>
      <c r="K78" s="309">
        <f t="shared" si="24"/>
        <v>0</v>
      </c>
      <c r="L78" s="309">
        <f t="shared" si="24"/>
        <v>0</v>
      </c>
      <c r="M78" s="309">
        <f t="shared" si="24"/>
        <v>0</v>
      </c>
      <c r="N78" s="309">
        <f t="shared" si="24"/>
        <v>0</v>
      </c>
      <c r="O78" s="309">
        <f t="shared" si="24"/>
        <v>0</v>
      </c>
      <c r="P78" s="309">
        <f t="shared" si="24"/>
        <v>0</v>
      </c>
      <c r="Q78" s="309">
        <f t="shared" si="24"/>
        <v>0</v>
      </c>
      <c r="R78" s="309">
        <f t="shared" si="24"/>
        <v>0</v>
      </c>
      <c r="S78" s="309">
        <f t="shared" si="24"/>
        <v>0</v>
      </c>
      <c r="T78" s="309">
        <f t="shared" si="24"/>
        <v>0</v>
      </c>
      <c r="U78" s="309">
        <f t="shared" si="24"/>
        <v>0</v>
      </c>
      <c r="V78" s="309">
        <f t="shared" si="24"/>
        <v>0</v>
      </c>
      <c r="W78" s="309">
        <f t="shared" si="24"/>
        <v>0</v>
      </c>
      <c r="X78" s="309">
        <f t="shared" si="24"/>
        <v>0</v>
      </c>
      <c r="Y78" s="309">
        <f t="shared" si="24"/>
        <v>0</v>
      </c>
      <c r="Z78" s="309">
        <f t="shared" si="24"/>
        <v>0</v>
      </c>
      <c r="AA78" s="309">
        <f t="shared" si="24"/>
        <v>0</v>
      </c>
      <c r="AB78" s="309">
        <f t="shared" si="24"/>
        <v>0</v>
      </c>
      <c r="AC78" s="309">
        <f t="shared" si="24"/>
        <v>0</v>
      </c>
      <c r="AD78" s="309">
        <f t="shared" si="24"/>
        <v>0</v>
      </c>
      <c r="AE78" s="309">
        <f t="shared" si="24"/>
        <v>0</v>
      </c>
      <c r="AF78" s="309">
        <f t="shared" si="24"/>
        <v>0</v>
      </c>
      <c r="AG78" s="309">
        <f t="shared" si="24"/>
        <v>0</v>
      </c>
      <c r="AH78" s="309">
        <f t="shared" si="24"/>
        <v>0</v>
      </c>
      <c r="AI78" s="309">
        <f t="shared" si="24"/>
        <v>0</v>
      </c>
      <c r="AJ78" s="309">
        <f t="shared" si="24"/>
        <v>0</v>
      </c>
      <c r="AK78" s="309">
        <f t="shared" si="24"/>
        <v>0</v>
      </c>
      <c r="AL78" s="309">
        <f t="shared" si="24"/>
        <v>0</v>
      </c>
      <c r="AM78" s="309">
        <f t="shared" si="24"/>
        <v>0</v>
      </c>
      <c r="AN78" s="309">
        <f t="shared" si="24"/>
        <v>0</v>
      </c>
      <c r="AO78" s="309">
        <f t="shared" si="24"/>
        <v>0</v>
      </c>
      <c r="AP78" s="309">
        <f t="shared" si="24"/>
        <v>0</v>
      </c>
      <c r="AQ78" s="309">
        <f t="shared" si="24"/>
        <v>0</v>
      </c>
      <c r="AR78" s="309">
        <f t="shared" si="24"/>
        <v>0</v>
      </c>
      <c r="AS78" s="309">
        <f t="shared" si="24"/>
        <v>0</v>
      </c>
      <c r="AT78" s="309">
        <f t="shared" si="24"/>
        <v>0</v>
      </c>
      <c r="AU78" s="309">
        <f t="shared" si="24"/>
        <v>0</v>
      </c>
      <c r="AV78" s="309">
        <f t="shared" si="24"/>
        <v>0</v>
      </c>
      <c r="AW78" s="309">
        <f t="shared" si="24"/>
        <v>0</v>
      </c>
      <c r="AX78" s="309">
        <f t="shared" si="24"/>
        <v>0</v>
      </c>
      <c r="AY78" s="309">
        <f t="shared" si="24"/>
        <v>0</v>
      </c>
      <c r="AZ78" s="309">
        <f t="shared" si="24"/>
        <v>0</v>
      </c>
      <c r="BA78" s="309">
        <f t="shared" si="24"/>
        <v>0</v>
      </c>
      <c r="BB78" s="309">
        <f t="shared" si="24"/>
        <v>0</v>
      </c>
      <c r="BC78" s="309">
        <f t="shared" si="24"/>
        <v>0</v>
      </c>
      <c r="BD78" s="309">
        <f t="shared" si="24"/>
        <v>0</v>
      </c>
      <c r="BE78" s="309">
        <f t="shared" si="24"/>
        <v>0</v>
      </c>
      <c r="BF78" s="309">
        <f t="shared" si="24"/>
        <v>0</v>
      </c>
      <c r="BG78" s="309">
        <f t="shared" si="24"/>
        <v>0</v>
      </c>
      <c r="BH78" s="309">
        <f t="shared" si="24"/>
        <v>0</v>
      </c>
      <c r="BI78" s="309">
        <f t="shared" si="24"/>
        <v>0</v>
      </c>
      <c r="BJ78" s="309">
        <f t="shared" si="24"/>
        <v>0</v>
      </c>
      <c r="BK78" s="309">
        <f t="shared" si="24"/>
        <v>0</v>
      </c>
      <c r="BL78" s="309">
        <f t="shared" si="24"/>
        <v>0</v>
      </c>
      <c r="BM78" s="309">
        <f t="shared" si="24"/>
        <v>0</v>
      </c>
      <c r="BN78" s="309">
        <f t="shared" si="24"/>
        <v>0</v>
      </c>
      <c r="BO78" s="309">
        <f t="shared" si="24"/>
        <v>0</v>
      </c>
      <c r="BP78" s="309">
        <f t="shared" si="24"/>
        <v>0</v>
      </c>
      <c r="BQ78" s="309">
        <f t="shared" si="24"/>
        <v>0</v>
      </c>
      <c r="BR78" s="309">
        <f t="shared" si="24"/>
        <v>0</v>
      </c>
      <c r="BS78" s="309">
        <f t="shared" si="24"/>
        <v>0</v>
      </c>
      <c r="BT78" s="309">
        <f t="shared" si="24"/>
        <v>0</v>
      </c>
      <c r="BU78" s="309">
        <f t="shared" si="24"/>
        <v>0</v>
      </c>
      <c r="BV78" s="309">
        <f t="shared" si="24"/>
        <v>0</v>
      </c>
      <c r="BW78" s="309">
        <f t="shared" si="24"/>
        <v>0</v>
      </c>
      <c r="BX78" s="309">
        <f t="shared" si="24"/>
        <v>0</v>
      </c>
    </row>
    <row r="79" spans="3:76" hidden="1" outlineLevel="1">
      <c r="C79" s="308" t="s">
        <v>266</v>
      </c>
      <c r="D79" s="317"/>
      <c r="E79" s="309"/>
      <c r="F79" s="309"/>
      <c r="G79" s="309"/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309"/>
      <c r="AA79" s="309"/>
      <c r="AB79" s="309"/>
      <c r="AC79" s="309"/>
      <c r="AD79" s="309"/>
      <c r="AE79" s="309"/>
      <c r="AF79" s="309"/>
      <c r="AG79" s="309"/>
      <c r="AH79" s="309"/>
      <c r="AI79" s="309"/>
      <c r="AJ79" s="309"/>
      <c r="AK79" s="309"/>
      <c r="AL79" s="309"/>
      <c r="AM79" s="309"/>
      <c r="AN79" s="309"/>
      <c r="AO79" s="309"/>
      <c r="AP79" s="309"/>
      <c r="AQ79" s="309"/>
      <c r="AR79" s="309"/>
      <c r="AS79" s="309"/>
      <c r="AT79" s="309"/>
      <c r="AU79" s="309"/>
      <c r="AV79" s="309"/>
      <c r="AW79" s="309"/>
      <c r="AX79" s="309"/>
      <c r="AY79" s="309"/>
      <c r="AZ79" s="309"/>
      <c r="BA79" s="309"/>
      <c r="BB79" s="309"/>
      <c r="BC79" s="309"/>
      <c r="BD79" s="309"/>
      <c r="BE79" s="309"/>
      <c r="BF79" s="309"/>
      <c r="BG79" s="309"/>
      <c r="BH79" s="309"/>
      <c r="BI79" s="309"/>
      <c r="BJ79" s="309"/>
      <c r="BK79" s="309"/>
      <c r="BL79" s="309"/>
      <c r="BM79" s="309"/>
      <c r="BN79" s="309"/>
      <c r="BO79" s="309"/>
      <c r="BP79" s="309"/>
      <c r="BQ79" s="309"/>
      <c r="BR79" s="309"/>
      <c r="BS79" s="309"/>
      <c r="BT79" s="309"/>
      <c r="BU79" s="309"/>
      <c r="BV79" s="309"/>
      <c r="BW79" s="309"/>
      <c r="BX79" s="309" t="e">
        <f>IF(#REF!&gt;0.25,(BX38-#REF!)*D80,BX38*D80)</f>
        <v>#REF!</v>
      </c>
    </row>
    <row r="80" spans="3:76" hidden="1" outlineLevel="1">
      <c r="C80" s="311" t="s">
        <v>267</v>
      </c>
      <c r="D80" s="317">
        <v>0.2</v>
      </c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  <c r="S80" s="250"/>
      <c r="T80" s="250"/>
      <c r="U80" s="250"/>
      <c r="V80" s="250"/>
      <c r="W80" s="250"/>
      <c r="X80" s="250"/>
      <c r="Y80" s="250"/>
      <c r="Z80" s="250"/>
      <c r="AA80" s="250"/>
      <c r="AB80" s="250"/>
      <c r="AC80" s="250"/>
      <c r="AD80" s="250"/>
      <c r="AE80" s="250"/>
      <c r="AF80" s="250"/>
      <c r="AG80" s="250"/>
      <c r="AH80" s="250"/>
      <c r="AI80" s="250"/>
      <c r="AJ80" s="250"/>
      <c r="AK80" s="250"/>
      <c r="AL80" s="250"/>
      <c r="AM80" s="250"/>
      <c r="AN80" s="250"/>
      <c r="AO80" s="250"/>
      <c r="AP80" s="250"/>
      <c r="AQ80" s="250"/>
      <c r="AR80" s="250"/>
      <c r="AS80" s="250"/>
      <c r="AT80" s="250"/>
      <c r="AU80" s="250"/>
      <c r="AV80" s="250"/>
      <c r="AW80" s="250"/>
      <c r="AX80" s="250"/>
      <c r="AY80" s="250"/>
      <c r="AZ80" s="250"/>
      <c r="BA80" s="250"/>
      <c r="BB80" s="250"/>
      <c r="BC80" s="250"/>
      <c r="BD80" s="250"/>
      <c r="BE80" s="250"/>
      <c r="BF80" s="250"/>
      <c r="BG80" s="250"/>
      <c r="BH80" s="250"/>
      <c r="BI80" s="250"/>
      <c r="BJ80" s="250"/>
      <c r="BK80" s="250"/>
      <c r="BL80" s="250"/>
      <c r="BM80" s="250"/>
      <c r="BN80" s="250"/>
      <c r="BO80" s="250"/>
      <c r="BP80" s="250"/>
      <c r="BQ80" s="250"/>
      <c r="BR80" s="250"/>
      <c r="BS80" s="250"/>
      <c r="BT80" s="250"/>
      <c r="BU80" s="250"/>
      <c r="BV80" s="250"/>
      <c r="BW80" s="250"/>
      <c r="BX80" s="250"/>
    </row>
    <row r="81" spans="3:76" hidden="1" outlineLevel="1">
      <c r="C81" s="308" t="s">
        <v>268</v>
      </c>
      <c r="D81" s="309"/>
      <c r="E81" s="319" t="e">
        <f t="shared" ref="E81:BX81" si="25">E76+E77+E78+E79+E80</f>
        <v>#REF!</v>
      </c>
      <c r="F81" s="319" t="e">
        <f t="shared" si="25"/>
        <v>#REF!</v>
      </c>
      <c r="G81" s="319" t="e">
        <f t="shared" si="25"/>
        <v>#REF!</v>
      </c>
      <c r="H81" s="319" t="e">
        <f t="shared" si="25"/>
        <v>#REF!</v>
      </c>
      <c r="I81" s="319" t="e">
        <f t="shared" si="25"/>
        <v>#REF!</v>
      </c>
      <c r="J81" s="319" t="e">
        <f t="shared" si="25"/>
        <v>#REF!</v>
      </c>
      <c r="K81" s="319" t="e">
        <f t="shared" si="25"/>
        <v>#REF!</v>
      </c>
      <c r="L81" s="319" t="e">
        <f t="shared" si="25"/>
        <v>#REF!</v>
      </c>
      <c r="M81" s="319" t="e">
        <f t="shared" si="25"/>
        <v>#REF!</v>
      </c>
      <c r="N81" s="319" t="e">
        <f t="shared" si="25"/>
        <v>#REF!</v>
      </c>
      <c r="O81" s="319" t="e">
        <f t="shared" si="25"/>
        <v>#REF!</v>
      </c>
      <c r="P81" s="319" t="e">
        <f t="shared" si="25"/>
        <v>#REF!</v>
      </c>
      <c r="Q81" s="319" t="e">
        <f t="shared" si="25"/>
        <v>#REF!</v>
      </c>
      <c r="R81" s="319" t="e">
        <f t="shared" si="25"/>
        <v>#REF!</v>
      </c>
      <c r="S81" s="319" t="e">
        <f t="shared" si="25"/>
        <v>#REF!</v>
      </c>
      <c r="T81" s="319" t="e">
        <f t="shared" si="25"/>
        <v>#REF!</v>
      </c>
      <c r="U81" s="319" t="e">
        <f t="shared" si="25"/>
        <v>#REF!</v>
      </c>
      <c r="V81" s="319" t="e">
        <f t="shared" si="25"/>
        <v>#REF!</v>
      </c>
      <c r="W81" s="319" t="e">
        <f t="shared" si="25"/>
        <v>#REF!</v>
      </c>
      <c r="X81" s="319" t="e">
        <f t="shared" si="25"/>
        <v>#REF!</v>
      </c>
      <c r="Y81" s="319" t="e">
        <f t="shared" si="25"/>
        <v>#REF!</v>
      </c>
      <c r="Z81" s="319" t="e">
        <f t="shared" si="25"/>
        <v>#REF!</v>
      </c>
      <c r="AA81" s="319" t="e">
        <f t="shared" si="25"/>
        <v>#REF!</v>
      </c>
      <c r="AB81" s="319" t="e">
        <f t="shared" si="25"/>
        <v>#REF!</v>
      </c>
      <c r="AC81" s="319" t="e">
        <f t="shared" si="25"/>
        <v>#REF!</v>
      </c>
      <c r="AD81" s="319" t="e">
        <f t="shared" si="25"/>
        <v>#REF!</v>
      </c>
      <c r="AE81" s="319" t="e">
        <f t="shared" si="25"/>
        <v>#REF!</v>
      </c>
      <c r="AF81" s="319" t="e">
        <f t="shared" si="25"/>
        <v>#REF!</v>
      </c>
      <c r="AG81" s="319" t="e">
        <f t="shared" si="25"/>
        <v>#REF!</v>
      </c>
      <c r="AH81" s="319" t="e">
        <f t="shared" si="25"/>
        <v>#REF!</v>
      </c>
      <c r="AI81" s="319" t="e">
        <f t="shared" si="25"/>
        <v>#REF!</v>
      </c>
      <c r="AJ81" s="319" t="e">
        <f t="shared" si="25"/>
        <v>#REF!</v>
      </c>
      <c r="AK81" s="319" t="e">
        <f t="shared" si="25"/>
        <v>#REF!</v>
      </c>
      <c r="AL81" s="319" t="e">
        <f t="shared" si="25"/>
        <v>#REF!</v>
      </c>
      <c r="AM81" s="319" t="e">
        <f t="shared" si="25"/>
        <v>#REF!</v>
      </c>
      <c r="AN81" s="319" t="e">
        <f t="shared" si="25"/>
        <v>#REF!</v>
      </c>
      <c r="AO81" s="319" t="e">
        <f t="shared" si="25"/>
        <v>#REF!</v>
      </c>
      <c r="AP81" s="319" t="e">
        <f t="shared" si="25"/>
        <v>#REF!</v>
      </c>
      <c r="AQ81" s="319" t="e">
        <f t="shared" si="25"/>
        <v>#REF!</v>
      </c>
      <c r="AR81" s="319" t="e">
        <f t="shared" si="25"/>
        <v>#REF!</v>
      </c>
      <c r="AS81" s="319" t="e">
        <f t="shared" si="25"/>
        <v>#REF!</v>
      </c>
      <c r="AT81" s="319" t="e">
        <f t="shared" si="25"/>
        <v>#REF!</v>
      </c>
      <c r="AU81" s="319" t="e">
        <f t="shared" si="25"/>
        <v>#REF!</v>
      </c>
      <c r="AV81" s="319" t="e">
        <f t="shared" si="25"/>
        <v>#REF!</v>
      </c>
      <c r="AW81" s="319" t="e">
        <f t="shared" si="25"/>
        <v>#REF!</v>
      </c>
      <c r="AX81" s="319" t="e">
        <f t="shared" si="25"/>
        <v>#REF!</v>
      </c>
      <c r="AY81" s="319" t="e">
        <f t="shared" si="25"/>
        <v>#REF!</v>
      </c>
      <c r="AZ81" s="319" t="e">
        <f t="shared" si="25"/>
        <v>#REF!</v>
      </c>
      <c r="BA81" s="319" t="e">
        <f t="shared" si="25"/>
        <v>#REF!</v>
      </c>
      <c r="BB81" s="319" t="e">
        <f t="shared" si="25"/>
        <v>#REF!</v>
      </c>
      <c r="BC81" s="319" t="e">
        <f t="shared" si="25"/>
        <v>#REF!</v>
      </c>
      <c r="BD81" s="319" t="e">
        <f t="shared" si="25"/>
        <v>#REF!</v>
      </c>
      <c r="BE81" s="319" t="e">
        <f t="shared" si="25"/>
        <v>#REF!</v>
      </c>
      <c r="BF81" s="319" t="e">
        <f t="shared" si="25"/>
        <v>#REF!</v>
      </c>
      <c r="BG81" s="319" t="e">
        <f t="shared" si="25"/>
        <v>#REF!</v>
      </c>
      <c r="BH81" s="319" t="e">
        <f t="shared" si="25"/>
        <v>#REF!</v>
      </c>
      <c r="BI81" s="319" t="e">
        <f t="shared" si="25"/>
        <v>#REF!</v>
      </c>
      <c r="BJ81" s="319" t="e">
        <f t="shared" si="25"/>
        <v>#REF!</v>
      </c>
      <c r="BK81" s="319" t="e">
        <f t="shared" si="25"/>
        <v>#REF!</v>
      </c>
      <c r="BL81" s="319" t="e">
        <f t="shared" si="25"/>
        <v>#REF!</v>
      </c>
      <c r="BM81" s="319" t="e">
        <f t="shared" si="25"/>
        <v>#REF!</v>
      </c>
      <c r="BN81" s="319" t="e">
        <f t="shared" si="25"/>
        <v>#REF!</v>
      </c>
      <c r="BO81" s="319" t="e">
        <f t="shared" si="25"/>
        <v>#REF!</v>
      </c>
      <c r="BP81" s="319" t="e">
        <f t="shared" si="25"/>
        <v>#REF!</v>
      </c>
      <c r="BQ81" s="319" t="e">
        <f t="shared" si="25"/>
        <v>#REF!</v>
      </c>
      <c r="BR81" s="319" t="e">
        <f t="shared" si="25"/>
        <v>#REF!</v>
      </c>
      <c r="BS81" s="319" t="e">
        <f t="shared" si="25"/>
        <v>#REF!</v>
      </c>
      <c r="BT81" s="319" t="e">
        <f t="shared" si="25"/>
        <v>#REF!</v>
      </c>
      <c r="BU81" s="319" t="e">
        <f t="shared" si="25"/>
        <v>#REF!</v>
      </c>
      <c r="BV81" s="319" t="e">
        <f t="shared" si="25"/>
        <v>#REF!</v>
      </c>
      <c r="BW81" s="319" t="e">
        <f t="shared" si="25"/>
        <v>#REF!</v>
      </c>
      <c r="BX81" s="319" t="e">
        <f t="shared" si="25"/>
        <v>#REF!</v>
      </c>
    </row>
    <row r="82" spans="3:76" hidden="1" outlineLevel="1">
      <c r="C82" s="312"/>
      <c r="D82" s="322" t="s">
        <v>275</v>
      </c>
      <c r="E82" s="321" t="e">
        <f>E81</f>
        <v>#REF!</v>
      </c>
      <c r="F82" s="321" t="e">
        <f t="shared" ref="F82:BX82" si="26">E82+F81</f>
        <v>#REF!</v>
      </c>
      <c r="G82" s="321" t="e">
        <f t="shared" si="26"/>
        <v>#REF!</v>
      </c>
      <c r="H82" s="321" t="e">
        <f t="shared" si="26"/>
        <v>#REF!</v>
      </c>
      <c r="I82" s="321" t="e">
        <f t="shared" si="26"/>
        <v>#REF!</v>
      </c>
      <c r="J82" s="321" t="e">
        <f t="shared" si="26"/>
        <v>#REF!</v>
      </c>
      <c r="K82" s="321" t="e">
        <f t="shared" si="26"/>
        <v>#REF!</v>
      </c>
      <c r="L82" s="321" t="e">
        <f t="shared" si="26"/>
        <v>#REF!</v>
      </c>
      <c r="M82" s="321" t="e">
        <f t="shared" si="26"/>
        <v>#REF!</v>
      </c>
      <c r="N82" s="321" t="e">
        <f t="shared" si="26"/>
        <v>#REF!</v>
      </c>
      <c r="O82" s="321" t="e">
        <f t="shared" si="26"/>
        <v>#REF!</v>
      </c>
      <c r="P82" s="321" t="e">
        <f t="shared" si="26"/>
        <v>#REF!</v>
      </c>
      <c r="Q82" s="321" t="e">
        <f t="shared" si="26"/>
        <v>#REF!</v>
      </c>
      <c r="R82" s="321" t="e">
        <f t="shared" si="26"/>
        <v>#REF!</v>
      </c>
      <c r="S82" s="321" t="e">
        <f t="shared" si="26"/>
        <v>#REF!</v>
      </c>
      <c r="T82" s="321" t="e">
        <f t="shared" si="26"/>
        <v>#REF!</v>
      </c>
      <c r="U82" s="321" t="e">
        <f t="shared" si="26"/>
        <v>#REF!</v>
      </c>
      <c r="V82" s="321" t="e">
        <f t="shared" si="26"/>
        <v>#REF!</v>
      </c>
      <c r="W82" s="321" t="e">
        <f t="shared" si="26"/>
        <v>#REF!</v>
      </c>
      <c r="X82" s="321" t="e">
        <f t="shared" si="26"/>
        <v>#REF!</v>
      </c>
      <c r="Y82" s="321" t="e">
        <f t="shared" si="26"/>
        <v>#REF!</v>
      </c>
      <c r="Z82" s="321" t="e">
        <f t="shared" si="26"/>
        <v>#REF!</v>
      </c>
      <c r="AA82" s="321" t="e">
        <f t="shared" si="26"/>
        <v>#REF!</v>
      </c>
      <c r="AB82" s="321" t="e">
        <f t="shared" si="26"/>
        <v>#REF!</v>
      </c>
      <c r="AC82" s="321" t="e">
        <f t="shared" si="26"/>
        <v>#REF!</v>
      </c>
      <c r="AD82" s="321" t="e">
        <f t="shared" si="26"/>
        <v>#REF!</v>
      </c>
      <c r="AE82" s="321" t="e">
        <f t="shared" si="26"/>
        <v>#REF!</v>
      </c>
      <c r="AF82" s="321" t="e">
        <f t="shared" si="26"/>
        <v>#REF!</v>
      </c>
      <c r="AG82" s="321" t="e">
        <f t="shared" si="26"/>
        <v>#REF!</v>
      </c>
      <c r="AH82" s="321" t="e">
        <f t="shared" si="26"/>
        <v>#REF!</v>
      </c>
      <c r="AI82" s="321" t="e">
        <f t="shared" si="26"/>
        <v>#REF!</v>
      </c>
      <c r="AJ82" s="321" t="e">
        <f t="shared" si="26"/>
        <v>#REF!</v>
      </c>
      <c r="AK82" s="321" t="e">
        <f t="shared" si="26"/>
        <v>#REF!</v>
      </c>
      <c r="AL82" s="321" t="e">
        <f t="shared" si="26"/>
        <v>#REF!</v>
      </c>
      <c r="AM82" s="321" t="e">
        <f t="shared" si="26"/>
        <v>#REF!</v>
      </c>
      <c r="AN82" s="321" t="e">
        <f t="shared" si="26"/>
        <v>#REF!</v>
      </c>
      <c r="AO82" s="321" t="e">
        <f t="shared" si="26"/>
        <v>#REF!</v>
      </c>
      <c r="AP82" s="321" t="e">
        <f t="shared" si="26"/>
        <v>#REF!</v>
      </c>
      <c r="AQ82" s="321" t="e">
        <f t="shared" si="26"/>
        <v>#REF!</v>
      </c>
      <c r="AR82" s="321" t="e">
        <f t="shared" si="26"/>
        <v>#REF!</v>
      </c>
      <c r="AS82" s="321" t="e">
        <f t="shared" si="26"/>
        <v>#REF!</v>
      </c>
      <c r="AT82" s="321" t="e">
        <f t="shared" si="26"/>
        <v>#REF!</v>
      </c>
      <c r="AU82" s="321" t="e">
        <f t="shared" si="26"/>
        <v>#REF!</v>
      </c>
      <c r="AV82" s="321" t="e">
        <f t="shared" si="26"/>
        <v>#REF!</v>
      </c>
      <c r="AW82" s="321" t="e">
        <f t="shared" si="26"/>
        <v>#REF!</v>
      </c>
      <c r="AX82" s="321" t="e">
        <f t="shared" si="26"/>
        <v>#REF!</v>
      </c>
      <c r="AY82" s="321" t="e">
        <f t="shared" si="26"/>
        <v>#REF!</v>
      </c>
      <c r="AZ82" s="321" t="e">
        <f t="shared" si="26"/>
        <v>#REF!</v>
      </c>
      <c r="BA82" s="321" t="e">
        <f t="shared" si="26"/>
        <v>#REF!</v>
      </c>
      <c r="BB82" s="321" t="e">
        <f t="shared" si="26"/>
        <v>#REF!</v>
      </c>
      <c r="BC82" s="321" t="e">
        <f t="shared" si="26"/>
        <v>#REF!</v>
      </c>
      <c r="BD82" s="321" t="e">
        <f t="shared" si="26"/>
        <v>#REF!</v>
      </c>
      <c r="BE82" s="321" t="e">
        <f t="shared" si="26"/>
        <v>#REF!</v>
      </c>
      <c r="BF82" s="321" t="e">
        <f t="shared" si="26"/>
        <v>#REF!</v>
      </c>
      <c r="BG82" s="321" t="e">
        <f t="shared" si="26"/>
        <v>#REF!</v>
      </c>
      <c r="BH82" s="321" t="e">
        <f t="shared" si="26"/>
        <v>#REF!</v>
      </c>
      <c r="BI82" s="321" t="e">
        <f t="shared" si="26"/>
        <v>#REF!</v>
      </c>
      <c r="BJ82" s="321" t="e">
        <f t="shared" si="26"/>
        <v>#REF!</v>
      </c>
      <c r="BK82" s="321" t="e">
        <f t="shared" si="26"/>
        <v>#REF!</v>
      </c>
      <c r="BL82" s="321" t="e">
        <f t="shared" si="26"/>
        <v>#REF!</v>
      </c>
      <c r="BM82" s="321" t="e">
        <f t="shared" si="26"/>
        <v>#REF!</v>
      </c>
      <c r="BN82" s="321" t="e">
        <f t="shared" si="26"/>
        <v>#REF!</v>
      </c>
      <c r="BO82" s="321" t="e">
        <f t="shared" si="26"/>
        <v>#REF!</v>
      </c>
      <c r="BP82" s="321" t="e">
        <f t="shared" si="26"/>
        <v>#REF!</v>
      </c>
      <c r="BQ82" s="321" t="e">
        <f t="shared" si="26"/>
        <v>#REF!</v>
      </c>
      <c r="BR82" s="321" t="e">
        <f t="shared" si="26"/>
        <v>#REF!</v>
      </c>
      <c r="BS82" s="321" t="e">
        <f t="shared" si="26"/>
        <v>#REF!</v>
      </c>
      <c r="BT82" s="321" t="e">
        <f t="shared" si="26"/>
        <v>#REF!</v>
      </c>
      <c r="BU82" s="321" t="e">
        <f t="shared" si="26"/>
        <v>#REF!</v>
      </c>
      <c r="BV82" s="321" t="e">
        <f t="shared" si="26"/>
        <v>#REF!</v>
      </c>
      <c r="BW82" s="321" t="e">
        <f t="shared" si="26"/>
        <v>#REF!</v>
      </c>
      <c r="BX82" s="321" t="e">
        <f t="shared" si="26"/>
        <v>#REF!</v>
      </c>
    </row>
    <row r="83" spans="3:76" hidden="1" outlineLevel="1">
      <c r="C83" s="311" t="s">
        <v>261</v>
      </c>
      <c r="D83" s="322" t="e">
        <f>IRR(E81:BX81)*12</f>
        <v>#VALUE!</v>
      </c>
      <c r="E83" s="229"/>
      <c r="F83" s="229"/>
      <c r="G83" s="229"/>
      <c r="H83" s="229"/>
      <c r="I83" s="229"/>
      <c r="J83" s="229"/>
      <c r="K83" s="229"/>
      <c r="L83" s="229"/>
      <c r="M83" s="229"/>
      <c r="N83" s="229"/>
      <c r="O83" s="229"/>
      <c r="P83" s="229"/>
      <c r="Q83" s="229"/>
      <c r="R83" s="229"/>
      <c r="S83" s="229"/>
      <c r="T83" s="229"/>
      <c r="U83" s="229"/>
      <c r="V83" s="229"/>
      <c r="W83" s="229"/>
      <c r="X83" s="229"/>
      <c r="Y83" s="229"/>
      <c r="Z83" s="229"/>
      <c r="AA83" s="229"/>
      <c r="AB83" s="229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29"/>
      <c r="BD83" s="229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</row>
    <row r="84" spans="3:76" hidden="1" outlineLevel="1">
      <c r="C84" s="323" t="s">
        <v>269</v>
      </c>
      <c r="D84" s="324" t="e">
        <f>-MIN(M82:BL82)-D85</f>
        <v>#REF!</v>
      </c>
      <c r="E84" s="229"/>
      <c r="F84" s="229"/>
      <c r="G84" s="229"/>
      <c r="H84" s="229"/>
      <c r="I84" s="229"/>
      <c r="J84" s="229"/>
      <c r="K84" s="229"/>
      <c r="L84" s="229"/>
      <c r="M84" s="229"/>
      <c r="N84" s="229"/>
      <c r="O84" s="229"/>
      <c r="P84" s="229"/>
      <c r="Q84" s="229"/>
      <c r="R84" s="229"/>
      <c r="S84" s="229"/>
      <c r="T84" s="229"/>
      <c r="U84" s="229"/>
      <c r="V84" s="229"/>
      <c r="W84" s="229"/>
      <c r="X84" s="229"/>
      <c r="Y84" s="229"/>
      <c r="Z84" s="229"/>
      <c r="AA84" s="229"/>
      <c r="AB84" s="229"/>
      <c r="AC84" s="229"/>
      <c r="AD84" s="229"/>
      <c r="AE84" s="229"/>
      <c r="AF84" s="229"/>
      <c r="AG84" s="229"/>
      <c r="AH84" s="229"/>
      <c r="AI84" s="229"/>
      <c r="AJ84" s="229"/>
      <c r="AK84" s="229"/>
      <c r="AL84" s="229"/>
      <c r="AM84" s="229"/>
      <c r="AN84" s="229"/>
      <c r="AO84" s="229"/>
      <c r="AP84" s="229"/>
      <c r="AQ84" s="229"/>
      <c r="AR84" s="229"/>
      <c r="AS84" s="229"/>
      <c r="AT84" s="229"/>
      <c r="AU84" s="229"/>
      <c r="AV84" s="229"/>
      <c r="AW84" s="229"/>
      <c r="AX84" s="229"/>
      <c r="AY84" s="229"/>
      <c r="AZ84" s="229"/>
      <c r="BA84" s="229"/>
      <c r="BB84" s="229"/>
      <c r="BC84" s="229"/>
      <c r="BD84" s="229"/>
      <c r="BE84" s="229"/>
      <c r="BF84" s="229"/>
      <c r="BG84" s="229"/>
      <c r="BH84" s="229"/>
      <c r="BI84" s="229"/>
      <c r="BJ84" s="229"/>
      <c r="BK84" s="229"/>
      <c r="BL84" s="229"/>
      <c r="BM84" s="229"/>
      <c r="BN84" s="229"/>
      <c r="BO84" s="229"/>
      <c r="BP84" s="229"/>
      <c r="BQ84" s="229"/>
      <c r="BR84" s="229"/>
      <c r="BS84" s="229"/>
      <c r="BT84" s="229"/>
      <c r="BU84" s="229"/>
      <c r="BV84" s="229"/>
      <c r="BW84" s="229"/>
      <c r="BX84" s="229"/>
    </row>
    <row r="85" spans="3:76" hidden="1" outlineLevel="1">
      <c r="C85" s="323" t="s">
        <v>276</v>
      </c>
      <c r="D85" s="324">
        <f>-SUM(M80:BB80)</f>
        <v>0</v>
      </c>
      <c r="E85" s="229"/>
      <c r="F85" s="229"/>
      <c r="G85" s="229"/>
      <c r="H85" s="229"/>
      <c r="I85" s="229"/>
      <c r="J85" s="229"/>
      <c r="K85" s="229"/>
      <c r="L85" s="229"/>
      <c r="M85" s="229"/>
      <c r="N85" s="229"/>
      <c r="O85" s="229"/>
      <c r="P85" s="229"/>
      <c r="Q85" s="229"/>
      <c r="R85" s="229"/>
      <c r="S85" s="229"/>
      <c r="T85" s="229"/>
      <c r="U85" s="229"/>
      <c r="V85" s="229"/>
      <c r="W85" s="229"/>
      <c r="X85" s="229"/>
      <c r="Y85" s="229"/>
      <c r="Z85" s="229"/>
      <c r="AA85" s="229"/>
      <c r="AB85" s="229"/>
      <c r="AC85" s="229"/>
      <c r="AD85" s="229"/>
      <c r="AE85" s="229"/>
      <c r="AF85" s="229"/>
      <c r="AG85" s="229"/>
      <c r="AH85" s="229"/>
      <c r="AI85" s="229"/>
      <c r="AJ85" s="229"/>
      <c r="AK85" s="229"/>
      <c r="AL85" s="229"/>
      <c r="AM85" s="229"/>
      <c r="AN85" s="229"/>
      <c r="AO85" s="229"/>
      <c r="AP85" s="229"/>
      <c r="AQ85" s="229"/>
      <c r="AR85" s="229"/>
      <c r="AS85" s="229"/>
      <c r="AT85" s="229"/>
      <c r="AU85" s="229"/>
      <c r="AV85" s="229"/>
      <c r="AW85" s="229"/>
      <c r="AX85" s="229"/>
      <c r="AY85" s="229"/>
      <c r="AZ85" s="229"/>
      <c r="BA85" s="229"/>
      <c r="BB85" s="229"/>
      <c r="BC85" s="229"/>
      <c r="BD85" s="229"/>
      <c r="BE85" s="229"/>
      <c r="BF85" s="229"/>
      <c r="BG85" s="229"/>
      <c r="BH85" s="229"/>
      <c r="BI85" s="229"/>
      <c r="BJ85" s="229"/>
      <c r="BK85" s="229"/>
      <c r="BL85" s="229"/>
      <c r="BM85" s="229"/>
      <c r="BN85" s="229"/>
      <c r="BO85" s="229"/>
      <c r="BP85" s="229"/>
      <c r="BQ85" s="229"/>
      <c r="BR85" s="229"/>
      <c r="BS85" s="229"/>
      <c r="BT85" s="229"/>
      <c r="BU85" s="229"/>
      <c r="BV85" s="229"/>
      <c r="BW85" s="229"/>
      <c r="BX85" s="229"/>
    </row>
    <row r="86" spans="3:76" hidden="1" outlineLevel="1">
      <c r="C86" s="311" t="s">
        <v>270</v>
      </c>
      <c r="D86" s="325" t="e">
        <f>D85+D84</f>
        <v>#REF!</v>
      </c>
      <c r="E86" s="229"/>
      <c r="F86" s="229"/>
      <c r="G86" s="22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29"/>
      <c r="AA86" s="229"/>
      <c r="AB86" s="229"/>
      <c r="AC86" s="229"/>
      <c r="AD86" s="229"/>
      <c r="AE86" s="229"/>
      <c r="AF86" s="229"/>
      <c r="AG86" s="229"/>
      <c r="AH86" s="229"/>
      <c r="AI86" s="229"/>
      <c r="AJ86" s="229"/>
      <c r="AK86" s="229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29"/>
      <c r="BH86" s="229"/>
      <c r="BI86" s="229"/>
      <c r="BJ86" s="229"/>
      <c r="BK86" s="229"/>
      <c r="BL86" s="229"/>
      <c r="BM86" s="229"/>
      <c r="BN86" s="229"/>
      <c r="BO86" s="229"/>
      <c r="BP86" s="229"/>
      <c r="BQ86" s="229"/>
      <c r="BR86" s="229"/>
      <c r="BS86" s="229"/>
      <c r="BT86" s="229"/>
      <c r="BU86" s="229"/>
      <c r="BV86" s="229"/>
      <c r="BW86" s="229"/>
      <c r="BX86" s="229"/>
    </row>
    <row r="87" spans="3:76" hidden="1" outlineLevel="1">
      <c r="C87" s="311" t="s">
        <v>271</v>
      </c>
      <c r="D87" s="325" t="e">
        <f>BX78+BX79</f>
        <v>#REF!</v>
      </c>
      <c r="E87" s="229"/>
      <c r="F87" s="229"/>
      <c r="G87" s="229"/>
      <c r="H87" s="229"/>
      <c r="I87" s="229"/>
      <c r="J87" s="229"/>
      <c r="K87" s="229"/>
      <c r="L87" s="229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229"/>
      <c r="Y87" s="229"/>
      <c r="Z87" s="229"/>
      <c r="AA87" s="229"/>
      <c r="AB87" s="229"/>
      <c r="AC87" s="229"/>
      <c r="AD87" s="229"/>
      <c r="AE87" s="229"/>
      <c r="AF87" s="229"/>
      <c r="AG87" s="229"/>
      <c r="AH87" s="229"/>
      <c r="AI87" s="229"/>
      <c r="AJ87" s="229"/>
      <c r="AK87" s="229"/>
      <c r="AL87" s="229"/>
      <c r="AM87" s="229"/>
      <c r="AN87" s="229"/>
      <c r="AO87" s="229"/>
      <c r="AP87" s="229"/>
      <c r="AQ87" s="229"/>
      <c r="AR87" s="229"/>
      <c r="AS87" s="229"/>
      <c r="AT87" s="229"/>
      <c r="AU87" s="229"/>
      <c r="AV87" s="229"/>
      <c r="AW87" s="229"/>
      <c r="AX87" s="229"/>
      <c r="AY87" s="229"/>
      <c r="AZ87" s="229"/>
      <c r="BA87" s="229"/>
      <c r="BB87" s="229"/>
      <c r="BC87" s="229"/>
      <c r="BD87" s="229"/>
      <c r="BE87" s="229"/>
      <c r="BF87" s="229"/>
      <c r="BG87" s="229"/>
      <c r="BH87" s="229"/>
      <c r="BI87" s="229"/>
      <c r="BJ87" s="229"/>
      <c r="BK87" s="229"/>
      <c r="BL87" s="229"/>
      <c r="BM87" s="229"/>
      <c r="BN87" s="229"/>
      <c r="BO87" s="229"/>
      <c r="BP87" s="229"/>
      <c r="BQ87" s="229"/>
      <c r="BR87" s="229"/>
      <c r="BS87" s="229"/>
      <c r="BT87" s="229"/>
      <c r="BU87" s="229"/>
      <c r="BV87" s="229"/>
      <c r="BW87" s="229"/>
      <c r="BX87" s="229"/>
    </row>
    <row r="88" spans="3:76" hidden="1" outlineLevel="1">
      <c r="C88" s="311" t="s">
        <v>272</v>
      </c>
      <c r="D88" s="322" t="e">
        <f>(D87-D85)/D86</f>
        <v>#REF!</v>
      </c>
      <c r="E88" s="229"/>
      <c r="F88" s="229"/>
      <c r="G88" s="229"/>
      <c r="H88" s="229"/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  <c r="U88" s="229"/>
      <c r="V88" s="229"/>
      <c r="W88" s="229"/>
      <c r="X88" s="229"/>
      <c r="Y88" s="229"/>
      <c r="Z88" s="229"/>
      <c r="AA88" s="229"/>
      <c r="AB88" s="229"/>
      <c r="AC88" s="229"/>
      <c r="AD88" s="229"/>
      <c r="AE88" s="229"/>
      <c r="AF88" s="229"/>
      <c r="AG88" s="229"/>
      <c r="AH88" s="229"/>
      <c r="AI88" s="229"/>
      <c r="AJ88" s="229"/>
      <c r="AK88" s="229"/>
      <c r="AL88" s="229"/>
      <c r="AM88" s="229"/>
      <c r="AN88" s="229"/>
      <c r="AO88" s="229"/>
      <c r="AP88" s="229"/>
      <c r="AQ88" s="229"/>
      <c r="AR88" s="229"/>
      <c r="AS88" s="229"/>
      <c r="AT88" s="229"/>
      <c r="AU88" s="229"/>
      <c r="AV88" s="229"/>
      <c r="AW88" s="229"/>
      <c r="AX88" s="229"/>
      <c r="AY88" s="229"/>
      <c r="AZ88" s="229"/>
      <c r="BA88" s="229"/>
      <c r="BB88" s="229"/>
      <c r="BC88" s="229"/>
      <c r="BD88" s="229"/>
      <c r="BE88" s="229"/>
      <c r="BF88" s="229"/>
      <c r="BG88" s="229"/>
      <c r="BH88" s="229"/>
      <c r="BI88" s="229"/>
      <c r="BJ88" s="229"/>
      <c r="BK88" s="229"/>
      <c r="BL88" s="229"/>
      <c r="BM88" s="229"/>
      <c r="BN88" s="229"/>
      <c r="BO88" s="229"/>
      <c r="BP88" s="229"/>
      <c r="BQ88" s="229"/>
      <c r="BR88" s="229"/>
      <c r="BS88" s="229"/>
      <c r="BT88" s="229"/>
      <c r="BU88" s="229"/>
      <c r="BV88" s="229"/>
      <c r="BW88" s="229"/>
      <c r="BX88" s="229"/>
    </row>
    <row r="89" spans="3:76" hidden="1">
      <c r="E89" s="229"/>
      <c r="F89" s="229"/>
      <c r="G89" s="229"/>
      <c r="H89" s="229"/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9"/>
      <c r="X89" s="229"/>
      <c r="Y89" s="229"/>
      <c r="Z89" s="229"/>
      <c r="AA89" s="229"/>
      <c r="AB89" s="229"/>
      <c r="AC89" s="229"/>
      <c r="AD89" s="229"/>
      <c r="AE89" s="229"/>
      <c r="AF89" s="229"/>
      <c r="AG89" s="229"/>
      <c r="AH89" s="229"/>
      <c r="AI89" s="229"/>
      <c r="AJ89" s="229"/>
      <c r="AK89" s="229"/>
      <c r="AL89" s="229"/>
      <c r="AM89" s="229"/>
      <c r="AN89" s="229"/>
      <c r="AO89" s="229"/>
      <c r="AP89" s="229"/>
      <c r="AQ89" s="229"/>
      <c r="AR89" s="229"/>
      <c r="AS89" s="229"/>
      <c r="AT89" s="229"/>
      <c r="AU89" s="229"/>
      <c r="AV89" s="229"/>
      <c r="AW89" s="229"/>
      <c r="AX89" s="229"/>
      <c r="AY89" s="229"/>
      <c r="AZ89" s="229"/>
      <c r="BA89" s="229"/>
      <c r="BB89" s="229"/>
      <c r="BC89" s="229"/>
      <c r="BD89" s="229"/>
      <c r="BE89" s="229"/>
      <c r="BF89" s="229"/>
      <c r="BG89" s="229"/>
      <c r="BH89" s="229"/>
      <c r="BI89" s="229"/>
      <c r="BJ89" s="229"/>
      <c r="BK89" s="229"/>
      <c r="BL89" s="229"/>
      <c r="BM89" s="229"/>
      <c r="BN89" s="229"/>
      <c r="BO89" s="229"/>
      <c r="BP89" s="229"/>
      <c r="BQ89" s="229"/>
      <c r="BR89" s="229"/>
      <c r="BS89" s="229"/>
      <c r="BT89" s="229"/>
      <c r="BU89" s="229"/>
      <c r="BV89" s="229"/>
      <c r="BW89" s="229"/>
      <c r="BX89" s="229"/>
    </row>
    <row r="90" spans="3:76" hidden="1">
      <c r="E90" s="229"/>
      <c r="F90" s="229"/>
      <c r="G90" s="229"/>
      <c r="H90" s="229"/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  <c r="U90" s="229"/>
      <c r="V90" s="229"/>
      <c r="W90" s="229"/>
      <c r="X90" s="229"/>
      <c r="Y90" s="229"/>
      <c r="Z90" s="229"/>
      <c r="AA90" s="229"/>
      <c r="AB90" s="229"/>
      <c r="AC90" s="229"/>
      <c r="AD90" s="229"/>
      <c r="AE90" s="229"/>
      <c r="AF90" s="229"/>
      <c r="AG90" s="229"/>
      <c r="AH90" s="229"/>
      <c r="AI90" s="229"/>
      <c r="AJ90" s="229"/>
      <c r="AK90" s="229"/>
      <c r="AL90" s="229"/>
      <c r="AM90" s="229"/>
      <c r="AN90" s="229"/>
      <c r="AO90" s="229"/>
      <c r="AP90" s="229"/>
      <c r="AQ90" s="229"/>
      <c r="AR90" s="229"/>
      <c r="AS90" s="229"/>
      <c r="AT90" s="229"/>
      <c r="AU90" s="229"/>
      <c r="AV90" s="229"/>
      <c r="AW90" s="229"/>
      <c r="AX90" s="229"/>
      <c r="AY90" s="229"/>
      <c r="AZ90" s="229"/>
      <c r="BA90" s="229"/>
      <c r="BB90" s="229"/>
      <c r="BC90" s="229"/>
      <c r="BD90" s="229"/>
      <c r="BE90" s="229"/>
      <c r="BF90" s="229"/>
      <c r="BG90" s="229"/>
      <c r="BH90" s="229"/>
      <c r="BI90" s="229"/>
      <c r="BJ90" s="229"/>
      <c r="BK90" s="229"/>
      <c r="BL90" s="229"/>
      <c r="BM90" s="229"/>
      <c r="BN90" s="229"/>
      <c r="BO90" s="229"/>
      <c r="BP90" s="229"/>
      <c r="BQ90" s="229"/>
      <c r="BR90" s="229"/>
      <c r="BS90" s="229"/>
      <c r="BT90" s="229"/>
      <c r="BU90" s="229"/>
      <c r="BV90" s="229"/>
      <c r="BW90" s="229"/>
      <c r="BX90" s="229"/>
    </row>
    <row r="91" spans="3:76" hidden="1">
      <c r="E91" s="229"/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29"/>
      <c r="Y91" s="229"/>
      <c r="Z91" s="229"/>
      <c r="AA91" s="229"/>
      <c r="AB91" s="229"/>
      <c r="AC91" s="229"/>
      <c r="AD91" s="229"/>
      <c r="AE91" s="229"/>
      <c r="AF91" s="229"/>
      <c r="AG91" s="229"/>
      <c r="AH91" s="229"/>
      <c r="AI91" s="229"/>
      <c r="AJ91" s="229"/>
      <c r="AK91" s="229"/>
      <c r="AL91" s="229"/>
      <c r="AM91" s="229"/>
      <c r="AN91" s="229"/>
      <c r="AO91" s="229"/>
      <c r="AP91" s="229"/>
      <c r="AQ91" s="229"/>
      <c r="AR91" s="229"/>
      <c r="AS91" s="229"/>
      <c r="AT91" s="229"/>
      <c r="AU91" s="229"/>
      <c r="AV91" s="229"/>
      <c r="AW91" s="229"/>
      <c r="AX91" s="229"/>
      <c r="AY91" s="229"/>
      <c r="AZ91" s="229"/>
      <c r="BA91" s="229"/>
      <c r="BB91" s="229"/>
      <c r="BC91" s="229"/>
      <c r="BD91" s="229"/>
      <c r="BE91" s="229"/>
      <c r="BF91" s="229"/>
      <c r="BG91" s="229"/>
      <c r="BH91" s="229"/>
      <c r="BI91" s="229"/>
      <c r="BJ91" s="229"/>
      <c r="BK91" s="229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</row>
    <row r="92" spans="3:76" hidden="1">
      <c r="E92" s="229"/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  <c r="AJ92" s="229"/>
      <c r="AK92" s="229"/>
      <c r="AL92" s="229"/>
      <c r="AM92" s="229"/>
      <c r="AN92" s="229"/>
      <c r="AO92" s="229"/>
      <c r="AP92" s="229"/>
      <c r="AQ92" s="229"/>
      <c r="AR92" s="229"/>
      <c r="AS92" s="229"/>
      <c r="AT92" s="229"/>
      <c r="AU92" s="229"/>
      <c r="AV92" s="229"/>
      <c r="AW92" s="229"/>
      <c r="AX92" s="229"/>
      <c r="AY92" s="229"/>
      <c r="AZ92" s="229"/>
      <c r="BA92" s="229"/>
      <c r="BB92" s="229"/>
      <c r="BC92" s="229"/>
      <c r="BD92" s="229"/>
      <c r="BE92" s="229"/>
      <c r="BF92" s="229"/>
      <c r="BG92" s="229"/>
      <c r="BH92" s="229"/>
      <c r="BI92" s="229"/>
      <c r="BJ92" s="229"/>
      <c r="BK92" s="229"/>
      <c r="BL92" s="229"/>
      <c r="BM92" s="229"/>
      <c r="BN92" s="229"/>
      <c r="BO92" s="229"/>
      <c r="BP92" s="229"/>
      <c r="BQ92" s="229"/>
      <c r="BR92" s="229"/>
      <c r="BS92" s="229"/>
      <c r="BT92" s="229"/>
      <c r="BU92" s="229"/>
      <c r="BV92" s="229"/>
      <c r="BW92" s="229"/>
      <c r="BX92" s="229"/>
    </row>
    <row r="93" spans="3:76" hidden="1" collapsed="1">
      <c r="C93" s="308" t="s">
        <v>278</v>
      </c>
      <c r="D93" s="309"/>
      <c r="E93" s="310" t="e">
        <f t="shared" ref="E93:BX93" si="27">-(#REF!+E31)</f>
        <v>#REF!</v>
      </c>
      <c r="F93" s="310" t="e">
        <f t="shared" si="27"/>
        <v>#REF!</v>
      </c>
      <c r="G93" s="310" t="e">
        <f t="shared" si="27"/>
        <v>#REF!</v>
      </c>
      <c r="H93" s="310" t="e">
        <f t="shared" si="27"/>
        <v>#REF!</v>
      </c>
      <c r="I93" s="310" t="e">
        <f t="shared" si="27"/>
        <v>#REF!</v>
      </c>
      <c r="J93" s="310" t="e">
        <f t="shared" si="27"/>
        <v>#REF!</v>
      </c>
      <c r="K93" s="310" t="e">
        <f t="shared" si="27"/>
        <v>#REF!</v>
      </c>
      <c r="L93" s="310" t="e">
        <f t="shared" si="27"/>
        <v>#REF!</v>
      </c>
      <c r="M93" s="310" t="e">
        <f t="shared" si="27"/>
        <v>#REF!</v>
      </c>
      <c r="N93" s="310" t="e">
        <f t="shared" si="27"/>
        <v>#REF!</v>
      </c>
      <c r="O93" s="310" t="e">
        <f t="shared" si="27"/>
        <v>#REF!</v>
      </c>
      <c r="P93" s="310" t="e">
        <f t="shared" si="27"/>
        <v>#REF!</v>
      </c>
      <c r="Q93" s="310" t="e">
        <f t="shared" si="27"/>
        <v>#REF!</v>
      </c>
      <c r="R93" s="310" t="e">
        <f t="shared" si="27"/>
        <v>#REF!</v>
      </c>
      <c r="S93" s="310" t="e">
        <f t="shared" si="27"/>
        <v>#REF!</v>
      </c>
      <c r="T93" s="310" t="e">
        <f t="shared" si="27"/>
        <v>#REF!</v>
      </c>
      <c r="U93" s="310" t="e">
        <f t="shared" si="27"/>
        <v>#REF!</v>
      </c>
      <c r="V93" s="310" t="e">
        <f t="shared" si="27"/>
        <v>#REF!</v>
      </c>
      <c r="W93" s="310" t="e">
        <f t="shared" si="27"/>
        <v>#REF!</v>
      </c>
      <c r="X93" s="310" t="e">
        <f t="shared" si="27"/>
        <v>#REF!</v>
      </c>
      <c r="Y93" s="310" t="e">
        <f t="shared" si="27"/>
        <v>#REF!</v>
      </c>
      <c r="Z93" s="310" t="e">
        <f t="shared" si="27"/>
        <v>#REF!</v>
      </c>
      <c r="AA93" s="310" t="e">
        <f t="shared" si="27"/>
        <v>#REF!</v>
      </c>
      <c r="AB93" s="310" t="e">
        <f t="shared" si="27"/>
        <v>#REF!</v>
      </c>
      <c r="AC93" s="310" t="e">
        <f t="shared" si="27"/>
        <v>#REF!</v>
      </c>
      <c r="AD93" s="310" t="e">
        <f t="shared" si="27"/>
        <v>#REF!</v>
      </c>
      <c r="AE93" s="310" t="e">
        <f t="shared" si="27"/>
        <v>#REF!</v>
      </c>
      <c r="AF93" s="310" t="e">
        <f t="shared" si="27"/>
        <v>#REF!</v>
      </c>
      <c r="AG93" s="310" t="e">
        <f t="shared" si="27"/>
        <v>#REF!</v>
      </c>
      <c r="AH93" s="310" t="e">
        <f t="shared" si="27"/>
        <v>#REF!</v>
      </c>
      <c r="AI93" s="310" t="e">
        <f t="shared" si="27"/>
        <v>#REF!</v>
      </c>
      <c r="AJ93" s="310" t="e">
        <f t="shared" si="27"/>
        <v>#REF!</v>
      </c>
      <c r="AK93" s="310" t="e">
        <f t="shared" si="27"/>
        <v>#REF!</v>
      </c>
      <c r="AL93" s="310" t="e">
        <f t="shared" si="27"/>
        <v>#REF!</v>
      </c>
      <c r="AM93" s="310" t="e">
        <f t="shared" si="27"/>
        <v>#REF!</v>
      </c>
      <c r="AN93" s="310" t="e">
        <f t="shared" si="27"/>
        <v>#REF!</v>
      </c>
      <c r="AO93" s="310" t="e">
        <f t="shared" si="27"/>
        <v>#REF!</v>
      </c>
      <c r="AP93" s="310" t="e">
        <f t="shared" si="27"/>
        <v>#REF!</v>
      </c>
      <c r="AQ93" s="310" t="e">
        <f t="shared" si="27"/>
        <v>#REF!</v>
      </c>
      <c r="AR93" s="310" t="e">
        <f t="shared" si="27"/>
        <v>#REF!</v>
      </c>
      <c r="AS93" s="310" t="e">
        <f t="shared" si="27"/>
        <v>#REF!</v>
      </c>
      <c r="AT93" s="310" t="e">
        <f t="shared" si="27"/>
        <v>#REF!</v>
      </c>
      <c r="AU93" s="310" t="e">
        <f t="shared" si="27"/>
        <v>#REF!</v>
      </c>
      <c r="AV93" s="310" t="e">
        <f t="shared" si="27"/>
        <v>#REF!</v>
      </c>
      <c r="AW93" s="310" t="e">
        <f t="shared" si="27"/>
        <v>#REF!</v>
      </c>
      <c r="AX93" s="310" t="e">
        <f t="shared" si="27"/>
        <v>#REF!</v>
      </c>
      <c r="AY93" s="310" t="e">
        <f t="shared" si="27"/>
        <v>#REF!</v>
      </c>
      <c r="AZ93" s="310" t="e">
        <f t="shared" si="27"/>
        <v>#REF!</v>
      </c>
      <c r="BA93" s="310" t="e">
        <f t="shared" si="27"/>
        <v>#REF!</v>
      </c>
      <c r="BB93" s="310" t="e">
        <f t="shared" si="27"/>
        <v>#REF!</v>
      </c>
      <c r="BC93" s="310" t="e">
        <f t="shared" si="27"/>
        <v>#REF!</v>
      </c>
      <c r="BD93" s="310" t="e">
        <f t="shared" si="27"/>
        <v>#REF!</v>
      </c>
      <c r="BE93" s="310" t="e">
        <f t="shared" si="27"/>
        <v>#REF!</v>
      </c>
      <c r="BF93" s="310" t="e">
        <f t="shared" si="27"/>
        <v>#REF!</v>
      </c>
      <c r="BG93" s="310" t="e">
        <f t="shared" si="27"/>
        <v>#REF!</v>
      </c>
      <c r="BH93" s="310" t="e">
        <f t="shared" si="27"/>
        <v>#REF!</v>
      </c>
      <c r="BI93" s="310" t="e">
        <f t="shared" si="27"/>
        <v>#REF!</v>
      </c>
      <c r="BJ93" s="310" t="e">
        <f t="shared" si="27"/>
        <v>#REF!</v>
      </c>
      <c r="BK93" s="310" t="e">
        <f t="shared" si="27"/>
        <v>#REF!</v>
      </c>
      <c r="BL93" s="310" t="e">
        <f t="shared" si="27"/>
        <v>#REF!</v>
      </c>
      <c r="BM93" s="310" t="e">
        <f t="shared" si="27"/>
        <v>#REF!</v>
      </c>
      <c r="BN93" s="310" t="e">
        <f t="shared" si="27"/>
        <v>#REF!</v>
      </c>
      <c r="BO93" s="310" t="e">
        <f t="shared" si="27"/>
        <v>#REF!</v>
      </c>
      <c r="BP93" s="310" t="e">
        <f t="shared" si="27"/>
        <v>#REF!</v>
      </c>
      <c r="BQ93" s="310" t="e">
        <f t="shared" si="27"/>
        <v>#REF!</v>
      </c>
      <c r="BR93" s="310" t="e">
        <f t="shared" si="27"/>
        <v>#REF!</v>
      </c>
      <c r="BS93" s="310" t="e">
        <f t="shared" si="27"/>
        <v>#REF!</v>
      </c>
      <c r="BT93" s="310" t="e">
        <f t="shared" si="27"/>
        <v>#REF!</v>
      </c>
      <c r="BU93" s="310" t="e">
        <f t="shared" si="27"/>
        <v>#REF!</v>
      </c>
      <c r="BV93" s="310" t="e">
        <f t="shared" si="27"/>
        <v>#REF!</v>
      </c>
      <c r="BW93" s="310" t="e">
        <f t="shared" si="27"/>
        <v>#REF!</v>
      </c>
      <c r="BX93" s="310" t="e">
        <f t="shared" si="27"/>
        <v>#REF!</v>
      </c>
    </row>
    <row r="94" spans="3:76" hidden="1" outlineLevel="1">
      <c r="C94" s="308" t="s">
        <v>274</v>
      </c>
      <c r="D94" s="317"/>
      <c r="E94" s="309"/>
      <c r="F94" s="309"/>
      <c r="G94" s="309"/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309"/>
      <c r="AA94" s="309"/>
      <c r="AB94" s="309"/>
      <c r="AC94" s="309"/>
      <c r="AD94" s="309"/>
      <c r="AE94" s="309"/>
      <c r="AF94" s="309"/>
      <c r="AG94" s="309"/>
      <c r="AH94" s="309"/>
      <c r="AI94" s="309"/>
      <c r="AJ94" s="309"/>
      <c r="AK94" s="309"/>
      <c r="AL94" s="309"/>
      <c r="AM94" s="309"/>
      <c r="AN94" s="309"/>
      <c r="AO94" s="309"/>
      <c r="AP94" s="309"/>
      <c r="AQ94" s="309"/>
      <c r="AR94" s="309"/>
      <c r="AS94" s="309"/>
      <c r="AT94" s="309"/>
      <c r="AU94" s="309"/>
      <c r="AV94" s="309"/>
      <c r="AW94" s="309"/>
      <c r="AX94" s="309"/>
      <c r="AY94" s="309"/>
      <c r="AZ94" s="309"/>
      <c r="BA94" s="309"/>
      <c r="BB94" s="309"/>
      <c r="BC94" s="310"/>
      <c r="BD94" s="309"/>
      <c r="BE94" s="309"/>
      <c r="BF94" s="309"/>
      <c r="BG94" s="309"/>
      <c r="BH94" s="309"/>
      <c r="BI94" s="309"/>
      <c r="BJ94" s="309"/>
      <c r="BK94" s="309"/>
      <c r="BL94" s="309"/>
      <c r="BM94" s="309"/>
      <c r="BN94" s="309"/>
      <c r="BO94" s="309"/>
      <c r="BP94" s="309"/>
      <c r="BQ94" s="309"/>
      <c r="BR94" s="309"/>
      <c r="BS94" s="309"/>
      <c r="BT94" s="309"/>
      <c r="BU94" s="309"/>
      <c r="BV94" s="309"/>
      <c r="BW94" s="309"/>
      <c r="BX94" s="309"/>
    </row>
    <row r="95" spans="3:76" hidden="1" outlineLevel="1">
      <c r="C95" s="308" t="s">
        <v>265</v>
      </c>
      <c r="D95" s="317"/>
      <c r="E95" s="309">
        <f t="shared" ref="E95:BX95" si="28">-E9</f>
        <v>0</v>
      </c>
      <c r="F95" s="309">
        <f t="shared" si="28"/>
        <v>0</v>
      </c>
      <c r="G95" s="309">
        <f t="shared" si="28"/>
        <v>0</v>
      </c>
      <c r="H95" s="309">
        <f t="shared" si="28"/>
        <v>0</v>
      </c>
      <c r="I95" s="309">
        <f t="shared" si="28"/>
        <v>0</v>
      </c>
      <c r="J95" s="309">
        <f t="shared" si="28"/>
        <v>0</v>
      </c>
      <c r="K95" s="309">
        <f t="shared" si="28"/>
        <v>0</v>
      </c>
      <c r="L95" s="309">
        <f t="shared" si="28"/>
        <v>0</v>
      </c>
      <c r="M95" s="309">
        <f t="shared" si="28"/>
        <v>0</v>
      </c>
      <c r="N95" s="309">
        <f t="shared" si="28"/>
        <v>0</v>
      </c>
      <c r="O95" s="309">
        <f t="shared" si="28"/>
        <v>0</v>
      </c>
      <c r="P95" s="309">
        <f t="shared" si="28"/>
        <v>0</v>
      </c>
      <c r="Q95" s="309">
        <f t="shared" si="28"/>
        <v>0</v>
      </c>
      <c r="R95" s="309">
        <f t="shared" si="28"/>
        <v>0</v>
      </c>
      <c r="S95" s="309">
        <f t="shared" si="28"/>
        <v>0</v>
      </c>
      <c r="T95" s="309">
        <f t="shared" si="28"/>
        <v>0</v>
      </c>
      <c r="U95" s="309">
        <f t="shared" si="28"/>
        <v>0</v>
      </c>
      <c r="V95" s="309">
        <f t="shared" si="28"/>
        <v>0</v>
      </c>
      <c r="W95" s="309">
        <f t="shared" si="28"/>
        <v>0</v>
      </c>
      <c r="X95" s="309">
        <f t="shared" si="28"/>
        <v>0</v>
      </c>
      <c r="Y95" s="309">
        <f t="shared" si="28"/>
        <v>0</v>
      </c>
      <c r="Z95" s="309">
        <f t="shared" si="28"/>
        <v>0</v>
      </c>
      <c r="AA95" s="309">
        <f t="shared" si="28"/>
        <v>0</v>
      </c>
      <c r="AB95" s="309">
        <f t="shared" si="28"/>
        <v>0</v>
      </c>
      <c r="AC95" s="309">
        <f t="shared" si="28"/>
        <v>0</v>
      </c>
      <c r="AD95" s="309">
        <f t="shared" si="28"/>
        <v>0</v>
      </c>
      <c r="AE95" s="309">
        <f t="shared" si="28"/>
        <v>0</v>
      </c>
      <c r="AF95" s="309">
        <f t="shared" si="28"/>
        <v>0</v>
      </c>
      <c r="AG95" s="309">
        <f t="shared" si="28"/>
        <v>0</v>
      </c>
      <c r="AH95" s="309">
        <f t="shared" si="28"/>
        <v>0</v>
      </c>
      <c r="AI95" s="309">
        <f t="shared" si="28"/>
        <v>0</v>
      </c>
      <c r="AJ95" s="309">
        <f t="shared" si="28"/>
        <v>0</v>
      </c>
      <c r="AK95" s="309">
        <f t="shared" si="28"/>
        <v>0</v>
      </c>
      <c r="AL95" s="309">
        <f t="shared" si="28"/>
        <v>0</v>
      </c>
      <c r="AM95" s="309">
        <f t="shared" si="28"/>
        <v>0</v>
      </c>
      <c r="AN95" s="309">
        <f t="shared" si="28"/>
        <v>0</v>
      </c>
      <c r="AO95" s="309">
        <f t="shared" si="28"/>
        <v>0</v>
      </c>
      <c r="AP95" s="309">
        <f t="shared" si="28"/>
        <v>0</v>
      </c>
      <c r="AQ95" s="309">
        <f t="shared" si="28"/>
        <v>0</v>
      </c>
      <c r="AR95" s="309">
        <f t="shared" si="28"/>
        <v>0</v>
      </c>
      <c r="AS95" s="309">
        <f t="shared" si="28"/>
        <v>0</v>
      </c>
      <c r="AT95" s="309">
        <f t="shared" si="28"/>
        <v>0</v>
      </c>
      <c r="AU95" s="309">
        <f t="shared" si="28"/>
        <v>0</v>
      </c>
      <c r="AV95" s="309">
        <f t="shared" si="28"/>
        <v>0</v>
      </c>
      <c r="AW95" s="309">
        <f t="shared" si="28"/>
        <v>0</v>
      </c>
      <c r="AX95" s="309">
        <f t="shared" si="28"/>
        <v>0</v>
      </c>
      <c r="AY95" s="309">
        <f t="shared" si="28"/>
        <v>0</v>
      </c>
      <c r="AZ95" s="309">
        <f t="shared" si="28"/>
        <v>0</v>
      </c>
      <c r="BA95" s="309">
        <f t="shared" si="28"/>
        <v>0</v>
      </c>
      <c r="BB95" s="309">
        <f t="shared" si="28"/>
        <v>0</v>
      </c>
      <c r="BC95" s="309">
        <f t="shared" si="28"/>
        <v>0</v>
      </c>
      <c r="BD95" s="309">
        <f t="shared" si="28"/>
        <v>0</v>
      </c>
      <c r="BE95" s="309">
        <f t="shared" si="28"/>
        <v>0</v>
      </c>
      <c r="BF95" s="309">
        <f t="shared" si="28"/>
        <v>0</v>
      </c>
      <c r="BG95" s="309">
        <f t="shared" si="28"/>
        <v>0</v>
      </c>
      <c r="BH95" s="309">
        <f t="shared" si="28"/>
        <v>0</v>
      </c>
      <c r="BI95" s="309">
        <f t="shared" si="28"/>
        <v>0</v>
      </c>
      <c r="BJ95" s="309">
        <f t="shared" si="28"/>
        <v>0</v>
      </c>
      <c r="BK95" s="309">
        <f t="shared" si="28"/>
        <v>0</v>
      </c>
      <c r="BL95" s="309">
        <f t="shared" si="28"/>
        <v>0</v>
      </c>
      <c r="BM95" s="309">
        <f t="shared" si="28"/>
        <v>0</v>
      </c>
      <c r="BN95" s="309">
        <f t="shared" si="28"/>
        <v>0</v>
      </c>
      <c r="BO95" s="309">
        <f t="shared" si="28"/>
        <v>0</v>
      </c>
      <c r="BP95" s="309">
        <f t="shared" si="28"/>
        <v>0</v>
      </c>
      <c r="BQ95" s="309">
        <f t="shared" si="28"/>
        <v>0</v>
      </c>
      <c r="BR95" s="309">
        <f t="shared" si="28"/>
        <v>0</v>
      </c>
      <c r="BS95" s="309">
        <f t="shared" si="28"/>
        <v>0</v>
      </c>
      <c r="BT95" s="309">
        <f t="shared" si="28"/>
        <v>0</v>
      </c>
      <c r="BU95" s="309">
        <f t="shared" si="28"/>
        <v>0</v>
      </c>
      <c r="BV95" s="309">
        <f t="shared" si="28"/>
        <v>0</v>
      </c>
      <c r="BW95" s="309">
        <f t="shared" si="28"/>
        <v>0</v>
      </c>
      <c r="BX95" s="309">
        <f t="shared" si="28"/>
        <v>0</v>
      </c>
    </row>
    <row r="96" spans="3:76" hidden="1" outlineLevel="1">
      <c r="C96" s="308" t="s">
        <v>266</v>
      </c>
      <c r="D96" s="317"/>
      <c r="E96" s="309"/>
      <c r="F96" s="309"/>
      <c r="G96" s="309"/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309"/>
      <c r="AA96" s="309"/>
      <c r="AB96" s="309"/>
      <c r="AC96" s="309"/>
      <c r="AD96" s="309"/>
      <c r="AE96" s="309"/>
      <c r="AF96" s="309"/>
      <c r="AG96" s="309"/>
      <c r="AH96" s="309"/>
      <c r="AI96" s="309"/>
      <c r="AJ96" s="309"/>
      <c r="AK96" s="309"/>
      <c r="AL96" s="309"/>
      <c r="AM96" s="309"/>
      <c r="AN96" s="309"/>
      <c r="AO96" s="309"/>
      <c r="AP96" s="309"/>
      <c r="AQ96" s="309"/>
      <c r="AR96" s="309"/>
      <c r="AS96" s="309"/>
      <c r="AT96" s="309"/>
      <c r="AU96" s="309"/>
      <c r="AV96" s="309"/>
      <c r="AW96" s="309"/>
      <c r="AX96" s="309"/>
      <c r="AY96" s="309"/>
      <c r="AZ96" s="309"/>
      <c r="BA96" s="309"/>
      <c r="BB96" s="309"/>
      <c r="BC96" s="310"/>
      <c r="BD96" s="309"/>
      <c r="BE96" s="309"/>
      <c r="BF96" s="309"/>
      <c r="BG96" s="309"/>
      <c r="BH96" s="309"/>
      <c r="BI96" s="309"/>
      <c r="BJ96" s="309"/>
      <c r="BK96" s="309"/>
      <c r="BL96" s="309"/>
      <c r="BM96" s="309"/>
      <c r="BN96" s="309"/>
      <c r="BO96" s="309"/>
      <c r="BP96" s="309"/>
      <c r="BQ96" s="309"/>
      <c r="BR96" s="309"/>
      <c r="BS96" s="309"/>
      <c r="BT96" s="309"/>
      <c r="BU96" s="309"/>
      <c r="BV96" s="309"/>
      <c r="BW96" s="309"/>
      <c r="BX96" s="309" t="e">
        <f>IF(#REF!&gt;0.25,(BX38-#REF!)*D97,BX38*D97)</f>
        <v>#REF!</v>
      </c>
    </row>
    <row r="97" spans="3:76" hidden="1" outlineLevel="1">
      <c r="C97" s="311" t="s">
        <v>267</v>
      </c>
      <c r="D97" s="317">
        <v>0.2</v>
      </c>
      <c r="E97" s="309"/>
      <c r="F97" s="309"/>
      <c r="G97" s="309"/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309"/>
      <c r="AA97" s="309"/>
      <c r="AB97" s="309"/>
      <c r="AC97" s="309"/>
      <c r="AD97" s="309"/>
      <c r="AE97" s="309"/>
      <c r="AF97" s="309"/>
      <c r="AG97" s="309"/>
      <c r="AH97" s="309"/>
      <c r="AI97" s="309"/>
      <c r="AJ97" s="309"/>
      <c r="AK97" s="309"/>
      <c r="AL97" s="309"/>
      <c r="AM97" s="309"/>
      <c r="AN97" s="309"/>
      <c r="AO97" s="309"/>
      <c r="AP97" s="309"/>
      <c r="AQ97" s="309"/>
      <c r="AR97" s="309"/>
      <c r="AS97" s="309"/>
      <c r="AT97" s="309"/>
      <c r="AU97" s="309"/>
      <c r="AV97" s="309"/>
      <c r="AW97" s="309"/>
      <c r="AX97" s="309"/>
      <c r="AY97" s="309"/>
      <c r="AZ97" s="309"/>
      <c r="BA97" s="309"/>
      <c r="BB97" s="309"/>
      <c r="BC97" s="310"/>
      <c r="BD97" s="309"/>
      <c r="BE97" s="309"/>
      <c r="BF97" s="309"/>
      <c r="BG97" s="309"/>
      <c r="BH97" s="309"/>
      <c r="BI97" s="309"/>
      <c r="BJ97" s="309"/>
      <c r="BK97" s="309"/>
      <c r="BL97" s="309"/>
      <c r="BM97" s="309"/>
      <c r="BN97" s="309"/>
      <c r="BO97" s="309"/>
      <c r="BP97" s="309"/>
      <c r="BQ97" s="309"/>
      <c r="BR97" s="309"/>
      <c r="BS97" s="309"/>
      <c r="BT97" s="309"/>
      <c r="BU97" s="309"/>
      <c r="BV97" s="309"/>
      <c r="BW97" s="309"/>
      <c r="BX97" s="309"/>
    </row>
    <row r="98" spans="3:76" hidden="1" outlineLevel="1">
      <c r="C98" s="308" t="s">
        <v>268</v>
      </c>
      <c r="D98" s="309"/>
      <c r="E98" s="319" t="e">
        <f t="shared" ref="E98:BX98" si="29">E93+E94+E95+E96+E97</f>
        <v>#REF!</v>
      </c>
      <c r="F98" s="319" t="e">
        <f t="shared" si="29"/>
        <v>#REF!</v>
      </c>
      <c r="G98" s="319" t="e">
        <f t="shared" si="29"/>
        <v>#REF!</v>
      </c>
      <c r="H98" s="319" t="e">
        <f t="shared" si="29"/>
        <v>#REF!</v>
      </c>
      <c r="I98" s="319" t="e">
        <f t="shared" si="29"/>
        <v>#REF!</v>
      </c>
      <c r="J98" s="319" t="e">
        <f t="shared" si="29"/>
        <v>#REF!</v>
      </c>
      <c r="K98" s="319" t="e">
        <f t="shared" si="29"/>
        <v>#REF!</v>
      </c>
      <c r="L98" s="319" t="e">
        <f t="shared" si="29"/>
        <v>#REF!</v>
      </c>
      <c r="M98" s="319" t="e">
        <f t="shared" si="29"/>
        <v>#REF!</v>
      </c>
      <c r="N98" s="319" t="e">
        <f t="shared" si="29"/>
        <v>#REF!</v>
      </c>
      <c r="O98" s="319" t="e">
        <f t="shared" si="29"/>
        <v>#REF!</v>
      </c>
      <c r="P98" s="319" t="e">
        <f t="shared" si="29"/>
        <v>#REF!</v>
      </c>
      <c r="Q98" s="319" t="e">
        <f t="shared" si="29"/>
        <v>#REF!</v>
      </c>
      <c r="R98" s="319" t="e">
        <f t="shared" si="29"/>
        <v>#REF!</v>
      </c>
      <c r="S98" s="319" t="e">
        <f t="shared" si="29"/>
        <v>#REF!</v>
      </c>
      <c r="T98" s="319" t="e">
        <f t="shared" si="29"/>
        <v>#REF!</v>
      </c>
      <c r="U98" s="319" t="e">
        <f t="shared" si="29"/>
        <v>#REF!</v>
      </c>
      <c r="V98" s="319" t="e">
        <f t="shared" si="29"/>
        <v>#REF!</v>
      </c>
      <c r="W98" s="319" t="e">
        <f t="shared" si="29"/>
        <v>#REF!</v>
      </c>
      <c r="X98" s="319" t="e">
        <f t="shared" si="29"/>
        <v>#REF!</v>
      </c>
      <c r="Y98" s="319" t="e">
        <f t="shared" si="29"/>
        <v>#REF!</v>
      </c>
      <c r="Z98" s="319" t="e">
        <f t="shared" si="29"/>
        <v>#REF!</v>
      </c>
      <c r="AA98" s="319" t="e">
        <f t="shared" si="29"/>
        <v>#REF!</v>
      </c>
      <c r="AB98" s="319" t="e">
        <f t="shared" si="29"/>
        <v>#REF!</v>
      </c>
      <c r="AC98" s="319" t="e">
        <f t="shared" si="29"/>
        <v>#REF!</v>
      </c>
      <c r="AD98" s="319" t="e">
        <f t="shared" si="29"/>
        <v>#REF!</v>
      </c>
      <c r="AE98" s="319" t="e">
        <f t="shared" si="29"/>
        <v>#REF!</v>
      </c>
      <c r="AF98" s="319" t="e">
        <f t="shared" si="29"/>
        <v>#REF!</v>
      </c>
      <c r="AG98" s="319" t="e">
        <f t="shared" si="29"/>
        <v>#REF!</v>
      </c>
      <c r="AH98" s="319" t="e">
        <f t="shared" si="29"/>
        <v>#REF!</v>
      </c>
      <c r="AI98" s="319" t="e">
        <f t="shared" si="29"/>
        <v>#REF!</v>
      </c>
      <c r="AJ98" s="319" t="e">
        <f t="shared" si="29"/>
        <v>#REF!</v>
      </c>
      <c r="AK98" s="319" t="e">
        <f t="shared" si="29"/>
        <v>#REF!</v>
      </c>
      <c r="AL98" s="319" t="e">
        <f t="shared" si="29"/>
        <v>#REF!</v>
      </c>
      <c r="AM98" s="319" t="e">
        <f t="shared" si="29"/>
        <v>#REF!</v>
      </c>
      <c r="AN98" s="319" t="e">
        <f t="shared" si="29"/>
        <v>#REF!</v>
      </c>
      <c r="AO98" s="319" t="e">
        <f t="shared" si="29"/>
        <v>#REF!</v>
      </c>
      <c r="AP98" s="319" t="e">
        <f t="shared" si="29"/>
        <v>#REF!</v>
      </c>
      <c r="AQ98" s="319" t="e">
        <f t="shared" si="29"/>
        <v>#REF!</v>
      </c>
      <c r="AR98" s="319" t="e">
        <f t="shared" si="29"/>
        <v>#REF!</v>
      </c>
      <c r="AS98" s="319" t="e">
        <f t="shared" si="29"/>
        <v>#REF!</v>
      </c>
      <c r="AT98" s="319" t="e">
        <f t="shared" si="29"/>
        <v>#REF!</v>
      </c>
      <c r="AU98" s="319" t="e">
        <f t="shared" si="29"/>
        <v>#REF!</v>
      </c>
      <c r="AV98" s="319" t="e">
        <f t="shared" si="29"/>
        <v>#REF!</v>
      </c>
      <c r="AW98" s="319" t="e">
        <f t="shared" si="29"/>
        <v>#REF!</v>
      </c>
      <c r="AX98" s="319" t="e">
        <f t="shared" si="29"/>
        <v>#REF!</v>
      </c>
      <c r="AY98" s="319" t="e">
        <f t="shared" si="29"/>
        <v>#REF!</v>
      </c>
      <c r="AZ98" s="319" t="e">
        <f t="shared" si="29"/>
        <v>#REF!</v>
      </c>
      <c r="BA98" s="319" t="e">
        <f t="shared" si="29"/>
        <v>#REF!</v>
      </c>
      <c r="BB98" s="319" t="e">
        <f t="shared" si="29"/>
        <v>#REF!</v>
      </c>
      <c r="BC98" s="319" t="e">
        <f t="shared" si="29"/>
        <v>#REF!</v>
      </c>
      <c r="BD98" s="319" t="e">
        <f t="shared" si="29"/>
        <v>#REF!</v>
      </c>
      <c r="BE98" s="319" t="e">
        <f t="shared" si="29"/>
        <v>#REF!</v>
      </c>
      <c r="BF98" s="319" t="e">
        <f t="shared" si="29"/>
        <v>#REF!</v>
      </c>
      <c r="BG98" s="319" t="e">
        <f t="shared" si="29"/>
        <v>#REF!</v>
      </c>
      <c r="BH98" s="319" t="e">
        <f t="shared" si="29"/>
        <v>#REF!</v>
      </c>
      <c r="BI98" s="319" t="e">
        <f t="shared" si="29"/>
        <v>#REF!</v>
      </c>
      <c r="BJ98" s="319" t="e">
        <f t="shared" si="29"/>
        <v>#REF!</v>
      </c>
      <c r="BK98" s="319" t="e">
        <f t="shared" si="29"/>
        <v>#REF!</v>
      </c>
      <c r="BL98" s="319" t="e">
        <f t="shared" si="29"/>
        <v>#REF!</v>
      </c>
      <c r="BM98" s="319" t="e">
        <f t="shared" si="29"/>
        <v>#REF!</v>
      </c>
      <c r="BN98" s="319" t="e">
        <f t="shared" si="29"/>
        <v>#REF!</v>
      </c>
      <c r="BO98" s="319" t="e">
        <f t="shared" si="29"/>
        <v>#REF!</v>
      </c>
      <c r="BP98" s="319" t="e">
        <f t="shared" si="29"/>
        <v>#REF!</v>
      </c>
      <c r="BQ98" s="319" t="e">
        <f t="shared" si="29"/>
        <v>#REF!</v>
      </c>
      <c r="BR98" s="319" t="e">
        <f t="shared" si="29"/>
        <v>#REF!</v>
      </c>
      <c r="BS98" s="319" t="e">
        <f t="shared" si="29"/>
        <v>#REF!</v>
      </c>
      <c r="BT98" s="319" t="e">
        <f t="shared" si="29"/>
        <v>#REF!</v>
      </c>
      <c r="BU98" s="319" t="e">
        <f t="shared" si="29"/>
        <v>#REF!</v>
      </c>
      <c r="BV98" s="319" t="e">
        <f t="shared" si="29"/>
        <v>#REF!</v>
      </c>
      <c r="BW98" s="319" t="e">
        <f t="shared" si="29"/>
        <v>#REF!</v>
      </c>
      <c r="BX98" s="319" t="e">
        <f t="shared" si="29"/>
        <v>#REF!</v>
      </c>
    </row>
    <row r="99" spans="3:76" hidden="1" outlineLevel="1">
      <c r="C99" s="312"/>
      <c r="D99" s="322" t="s">
        <v>275</v>
      </c>
      <c r="E99" s="321" t="e">
        <f>E98</f>
        <v>#REF!</v>
      </c>
      <c r="F99" s="321" t="e">
        <f t="shared" ref="F99:BX99" si="30">E99+F98</f>
        <v>#REF!</v>
      </c>
      <c r="G99" s="321" t="e">
        <f t="shared" si="30"/>
        <v>#REF!</v>
      </c>
      <c r="H99" s="321" t="e">
        <f t="shared" si="30"/>
        <v>#REF!</v>
      </c>
      <c r="I99" s="321" t="e">
        <f t="shared" si="30"/>
        <v>#REF!</v>
      </c>
      <c r="J99" s="321" t="e">
        <f t="shared" si="30"/>
        <v>#REF!</v>
      </c>
      <c r="K99" s="321" t="e">
        <f t="shared" si="30"/>
        <v>#REF!</v>
      </c>
      <c r="L99" s="321" t="e">
        <f t="shared" si="30"/>
        <v>#REF!</v>
      </c>
      <c r="M99" s="321" t="e">
        <f t="shared" si="30"/>
        <v>#REF!</v>
      </c>
      <c r="N99" s="321" t="e">
        <f t="shared" si="30"/>
        <v>#REF!</v>
      </c>
      <c r="O99" s="321" t="e">
        <f t="shared" si="30"/>
        <v>#REF!</v>
      </c>
      <c r="P99" s="321" t="e">
        <f t="shared" si="30"/>
        <v>#REF!</v>
      </c>
      <c r="Q99" s="321" t="e">
        <f t="shared" si="30"/>
        <v>#REF!</v>
      </c>
      <c r="R99" s="321" t="e">
        <f t="shared" si="30"/>
        <v>#REF!</v>
      </c>
      <c r="S99" s="321" t="e">
        <f t="shared" si="30"/>
        <v>#REF!</v>
      </c>
      <c r="T99" s="321" t="e">
        <f t="shared" si="30"/>
        <v>#REF!</v>
      </c>
      <c r="U99" s="321" t="e">
        <f t="shared" si="30"/>
        <v>#REF!</v>
      </c>
      <c r="V99" s="327" t="e">
        <f t="shared" si="30"/>
        <v>#REF!</v>
      </c>
      <c r="W99" s="327" t="e">
        <f t="shared" si="30"/>
        <v>#REF!</v>
      </c>
      <c r="X99" s="327" t="e">
        <f t="shared" si="30"/>
        <v>#REF!</v>
      </c>
      <c r="Y99" s="327" t="e">
        <f t="shared" si="30"/>
        <v>#REF!</v>
      </c>
      <c r="Z99" s="327" t="e">
        <f t="shared" si="30"/>
        <v>#REF!</v>
      </c>
      <c r="AA99" s="327" t="e">
        <f t="shared" si="30"/>
        <v>#REF!</v>
      </c>
      <c r="AB99" s="327" t="e">
        <f t="shared" si="30"/>
        <v>#REF!</v>
      </c>
      <c r="AC99" s="327" t="e">
        <f t="shared" si="30"/>
        <v>#REF!</v>
      </c>
      <c r="AD99" s="327" t="e">
        <f t="shared" si="30"/>
        <v>#REF!</v>
      </c>
      <c r="AE99" s="327" t="e">
        <f t="shared" si="30"/>
        <v>#REF!</v>
      </c>
      <c r="AF99" s="327" t="e">
        <f t="shared" si="30"/>
        <v>#REF!</v>
      </c>
      <c r="AG99" s="327" t="e">
        <f t="shared" si="30"/>
        <v>#REF!</v>
      </c>
      <c r="AH99" s="327" t="e">
        <f t="shared" si="30"/>
        <v>#REF!</v>
      </c>
      <c r="AI99" s="327" t="e">
        <f t="shared" si="30"/>
        <v>#REF!</v>
      </c>
      <c r="AJ99" s="327" t="e">
        <f t="shared" si="30"/>
        <v>#REF!</v>
      </c>
      <c r="AK99" s="327" t="e">
        <f t="shared" si="30"/>
        <v>#REF!</v>
      </c>
      <c r="AL99" s="327" t="e">
        <f t="shared" si="30"/>
        <v>#REF!</v>
      </c>
      <c r="AM99" s="327" t="e">
        <f t="shared" si="30"/>
        <v>#REF!</v>
      </c>
      <c r="AN99" s="327" t="e">
        <f t="shared" si="30"/>
        <v>#REF!</v>
      </c>
      <c r="AO99" s="327" t="e">
        <f t="shared" si="30"/>
        <v>#REF!</v>
      </c>
      <c r="AP99" s="327" t="e">
        <f t="shared" si="30"/>
        <v>#REF!</v>
      </c>
      <c r="AQ99" s="327" t="e">
        <f t="shared" si="30"/>
        <v>#REF!</v>
      </c>
      <c r="AR99" s="327" t="e">
        <f t="shared" si="30"/>
        <v>#REF!</v>
      </c>
      <c r="AS99" s="327" t="e">
        <f t="shared" si="30"/>
        <v>#REF!</v>
      </c>
      <c r="AT99" s="327" t="e">
        <f t="shared" si="30"/>
        <v>#REF!</v>
      </c>
      <c r="AU99" s="327" t="e">
        <f t="shared" si="30"/>
        <v>#REF!</v>
      </c>
      <c r="AV99" s="327" t="e">
        <f t="shared" si="30"/>
        <v>#REF!</v>
      </c>
      <c r="AW99" s="327" t="e">
        <f t="shared" si="30"/>
        <v>#REF!</v>
      </c>
      <c r="AX99" s="327" t="e">
        <f t="shared" si="30"/>
        <v>#REF!</v>
      </c>
      <c r="AY99" s="327" t="e">
        <f t="shared" si="30"/>
        <v>#REF!</v>
      </c>
      <c r="AZ99" s="327" t="e">
        <f t="shared" si="30"/>
        <v>#REF!</v>
      </c>
      <c r="BA99" s="327" t="e">
        <f t="shared" si="30"/>
        <v>#REF!</v>
      </c>
      <c r="BB99" s="327" t="e">
        <f t="shared" si="30"/>
        <v>#REF!</v>
      </c>
      <c r="BC99" s="321" t="e">
        <f t="shared" si="30"/>
        <v>#REF!</v>
      </c>
      <c r="BD99" s="321" t="e">
        <f t="shared" si="30"/>
        <v>#REF!</v>
      </c>
      <c r="BE99" s="321" t="e">
        <f t="shared" si="30"/>
        <v>#REF!</v>
      </c>
      <c r="BF99" s="321" t="e">
        <f t="shared" si="30"/>
        <v>#REF!</v>
      </c>
      <c r="BG99" s="321" t="e">
        <f t="shared" si="30"/>
        <v>#REF!</v>
      </c>
      <c r="BH99" s="321" t="e">
        <f t="shared" si="30"/>
        <v>#REF!</v>
      </c>
      <c r="BI99" s="321" t="e">
        <f t="shared" si="30"/>
        <v>#REF!</v>
      </c>
      <c r="BJ99" s="321" t="e">
        <f t="shared" si="30"/>
        <v>#REF!</v>
      </c>
      <c r="BK99" s="321" t="e">
        <f t="shared" si="30"/>
        <v>#REF!</v>
      </c>
      <c r="BL99" s="321" t="e">
        <f t="shared" si="30"/>
        <v>#REF!</v>
      </c>
      <c r="BM99" s="321" t="e">
        <f t="shared" si="30"/>
        <v>#REF!</v>
      </c>
      <c r="BN99" s="321" t="e">
        <f t="shared" si="30"/>
        <v>#REF!</v>
      </c>
      <c r="BO99" s="321" t="e">
        <f t="shared" si="30"/>
        <v>#REF!</v>
      </c>
      <c r="BP99" s="321" t="e">
        <f t="shared" si="30"/>
        <v>#REF!</v>
      </c>
      <c r="BQ99" s="321" t="e">
        <f t="shared" si="30"/>
        <v>#REF!</v>
      </c>
      <c r="BR99" s="321" t="e">
        <f t="shared" si="30"/>
        <v>#REF!</v>
      </c>
      <c r="BS99" s="321" t="e">
        <f t="shared" si="30"/>
        <v>#REF!</v>
      </c>
      <c r="BT99" s="321" t="e">
        <f t="shared" si="30"/>
        <v>#REF!</v>
      </c>
      <c r="BU99" s="321" t="e">
        <f t="shared" si="30"/>
        <v>#REF!</v>
      </c>
      <c r="BV99" s="321" t="e">
        <f t="shared" si="30"/>
        <v>#REF!</v>
      </c>
      <c r="BW99" s="321" t="e">
        <f t="shared" si="30"/>
        <v>#REF!</v>
      </c>
      <c r="BX99" s="321" t="e">
        <f t="shared" si="30"/>
        <v>#REF!</v>
      </c>
    </row>
    <row r="100" spans="3:76" hidden="1" outlineLevel="1">
      <c r="C100" s="311" t="s">
        <v>261</v>
      </c>
      <c r="D100" s="322" t="e">
        <f>IRR(E98:BX98)*12</f>
        <v>#VALUE!</v>
      </c>
      <c r="E100" s="229"/>
      <c r="F100" s="229"/>
      <c r="G100" s="229"/>
      <c r="H100" s="229"/>
      <c r="I100" s="229"/>
      <c r="J100" s="229"/>
      <c r="K100" s="229"/>
      <c r="L100" s="229"/>
      <c r="M100" s="229"/>
      <c r="N100" s="229"/>
      <c r="O100" s="229"/>
      <c r="P100" s="229"/>
      <c r="Q100" s="229"/>
      <c r="R100" s="229"/>
      <c r="S100" s="229"/>
      <c r="T100" s="229"/>
      <c r="U100" s="229"/>
      <c r="V100" s="229"/>
      <c r="W100" s="229"/>
      <c r="X100" s="229"/>
      <c r="Y100" s="229"/>
      <c r="Z100" s="229"/>
      <c r="AA100" s="229"/>
      <c r="AB100" s="229"/>
      <c r="AC100" s="229"/>
      <c r="AD100" s="229"/>
      <c r="AE100" s="229"/>
      <c r="AF100" s="229"/>
      <c r="AG100" s="229"/>
      <c r="AH100" s="229"/>
      <c r="AI100" s="229"/>
      <c r="AJ100" s="229"/>
      <c r="AK100" s="229"/>
      <c r="AL100" s="229"/>
      <c r="AM100" s="229"/>
      <c r="AN100" s="229"/>
      <c r="AO100" s="229"/>
      <c r="AP100" s="229"/>
      <c r="AQ100" s="229"/>
      <c r="AR100" s="229"/>
      <c r="AS100" s="229"/>
      <c r="AT100" s="229"/>
      <c r="AU100" s="229"/>
      <c r="AV100" s="229"/>
      <c r="AW100" s="229"/>
      <c r="AX100" s="229"/>
      <c r="AY100" s="229"/>
      <c r="AZ100" s="229"/>
      <c r="BA100" s="229"/>
      <c r="BB100" s="229"/>
      <c r="BC100" s="229"/>
      <c r="BD100" s="229"/>
      <c r="BE100" s="229"/>
      <c r="BF100" s="229"/>
      <c r="BG100" s="229"/>
      <c r="BH100" s="229"/>
      <c r="BI100" s="229"/>
      <c r="BJ100" s="229"/>
      <c r="BK100" s="229"/>
      <c r="BL100" s="229"/>
      <c r="BM100" s="229"/>
      <c r="BN100" s="229"/>
      <c r="BO100" s="229"/>
      <c r="BP100" s="229"/>
      <c r="BQ100" s="229"/>
      <c r="BR100" s="229"/>
      <c r="BS100" s="229"/>
      <c r="BT100" s="229"/>
      <c r="BU100" s="229"/>
      <c r="BV100" s="229"/>
      <c r="BW100" s="229"/>
      <c r="BX100" s="229"/>
    </row>
    <row r="101" spans="3:76" hidden="1" outlineLevel="1">
      <c r="C101" s="323" t="s">
        <v>269</v>
      </c>
      <c r="D101" s="324" t="e">
        <f>-MIN(M99:BL99)-D102</f>
        <v>#REF!</v>
      </c>
      <c r="E101" s="229"/>
      <c r="F101" s="229"/>
      <c r="G101" s="229"/>
      <c r="H101" s="229"/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  <c r="U101" s="229"/>
      <c r="V101" s="229"/>
      <c r="W101" s="229"/>
      <c r="X101" s="229"/>
      <c r="Y101" s="229"/>
      <c r="Z101" s="229"/>
      <c r="AA101" s="229"/>
      <c r="AB101" s="229"/>
      <c r="AC101" s="229"/>
      <c r="AD101" s="229"/>
      <c r="AE101" s="229"/>
      <c r="AF101" s="229"/>
      <c r="AG101" s="229"/>
      <c r="AH101" s="229"/>
      <c r="AI101" s="229"/>
      <c r="AJ101" s="229"/>
      <c r="AK101" s="229"/>
      <c r="AL101" s="229"/>
      <c r="AM101" s="229"/>
      <c r="AN101" s="229"/>
      <c r="AO101" s="229"/>
      <c r="AP101" s="229"/>
      <c r="AQ101" s="229"/>
      <c r="AR101" s="229"/>
      <c r="AS101" s="229"/>
      <c r="AT101" s="229"/>
      <c r="AU101" s="229"/>
      <c r="AV101" s="229"/>
      <c r="AW101" s="229"/>
      <c r="AX101" s="229"/>
      <c r="AY101" s="229"/>
      <c r="AZ101" s="229"/>
      <c r="BA101" s="229"/>
      <c r="BB101" s="229"/>
      <c r="BC101" s="229"/>
      <c r="BD101" s="229"/>
      <c r="BE101" s="229"/>
      <c r="BF101" s="229"/>
      <c r="BG101" s="229"/>
      <c r="BH101" s="229"/>
      <c r="BI101" s="229"/>
      <c r="BJ101" s="229"/>
      <c r="BK101" s="229"/>
      <c r="BL101" s="229"/>
      <c r="BM101" s="229"/>
      <c r="BN101" s="229"/>
      <c r="BO101" s="229"/>
      <c r="BP101" s="229"/>
      <c r="BQ101" s="229"/>
      <c r="BR101" s="229"/>
      <c r="BS101" s="229"/>
      <c r="BT101" s="229"/>
      <c r="BU101" s="229"/>
      <c r="BV101" s="229"/>
      <c r="BW101" s="229"/>
      <c r="BX101" s="229"/>
    </row>
    <row r="102" spans="3:76" hidden="1" outlineLevel="1">
      <c r="C102" s="323" t="s">
        <v>276</v>
      </c>
      <c r="D102" s="324">
        <f>-SUM(M97:BB97)</f>
        <v>0</v>
      </c>
      <c r="E102" s="229"/>
      <c r="F102" s="229"/>
      <c r="G102" s="229"/>
      <c r="H102" s="229"/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  <c r="U102" s="229"/>
      <c r="V102" s="229"/>
      <c r="W102" s="229"/>
      <c r="X102" s="229"/>
      <c r="Y102" s="229"/>
      <c r="Z102" s="229"/>
      <c r="AA102" s="229"/>
      <c r="AB102" s="229"/>
      <c r="AC102" s="229"/>
      <c r="AD102" s="229"/>
      <c r="AE102" s="229"/>
      <c r="AF102" s="229"/>
      <c r="AG102" s="229"/>
      <c r="AH102" s="229"/>
      <c r="AI102" s="229"/>
      <c r="AJ102" s="229"/>
      <c r="AK102" s="229"/>
      <c r="AL102" s="229"/>
      <c r="AM102" s="229"/>
      <c r="AN102" s="229"/>
      <c r="AO102" s="229"/>
      <c r="AP102" s="229"/>
      <c r="AQ102" s="229"/>
      <c r="AR102" s="229"/>
      <c r="AS102" s="229"/>
      <c r="AT102" s="229"/>
      <c r="AU102" s="229"/>
      <c r="AV102" s="229"/>
      <c r="AW102" s="229"/>
      <c r="AX102" s="229"/>
      <c r="AY102" s="229"/>
      <c r="AZ102" s="229"/>
      <c r="BA102" s="229"/>
      <c r="BB102" s="229"/>
      <c r="BC102" s="229"/>
      <c r="BD102" s="229"/>
      <c r="BE102" s="229"/>
      <c r="BF102" s="229"/>
      <c r="BG102" s="229"/>
      <c r="BH102" s="229"/>
      <c r="BI102" s="229"/>
      <c r="BJ102" s="229"/>
      <c r="BK102" s="229"/>
      <c r="BL102" s="229"/>
      <c r="BM102" s="229"/>
      <c r="BN102" s="229"/>
      <c r="BO102" s="229"/>
      <c r="BP102" s="229"/>
      <c r="BQ102" s="229"/>
      <c r="BR102" s="229"/>
      <c r="BS102" s="229"/>
      <c r="BT102" s="229"/>
      <c r="BU102" s="229"/>
      <c r="BV102" s="229"/>
      <c r="BW102" s="229"/>
      <c r="BX102" s="229"/>
    </row>
    <row r="103" spans="3:76" hidden="1" outlineLevel="1">
      <c r="C103" s="311" t="s">
        <v>270</v>
      </c>
      <c r="D103" s="325" t="e">
        <f>D102+D101</f>
        <v>#REF!</v>
      </c>
      <c r="E103" s="229"/>
      <c r="F103" s="229"/>
      <c r="G103" s="229"/>
      <c r="H103" s="229"/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  <c r="U103" s="229"/>
      <c r="V103" s="229"/>
      <c r="W103" s="229"/>
      <c r="X103" s="229"/>
      <c r="Y103" s="229"/>
      <c r="Z103" s="229"/>
      <c r="AA103" s="229"/>
      <c r="AB103" s="229"/>
      <c r="AC103" s="229"/>
      <c r="AD103" s="229"/>
      <c r="AE103" s="229"/>
      <c r="AF103" s="229"/>
      <c r="AG103" s="229"/>
      <c r="AH103" s="229"/>
      <c r="AI103" s="229"/>
      <c r="AJ103" s="229"/>
      <c r="AK103" s="229"/>
      <c r="AL103" s="229"/>
      <c r="AM103" s="229"/>
      <c r="AN103" s="229"/>
      <c r="AO103" s="229"/>
      <c r="AP103" s="229"/>
      <c r="AQ103" s="229"/>
      <c r="AR103" s="229"/>
      <c r="AS103" s="229"/>
      <c r="AT103" s="229"/>
      <c r="AU103" s="229"/>
      <c r="AV103" s="229"/>
      <c r="AW103" s="229"/>
      <c r="AX103" s="229"/>
      <c r="AY103" s="229"/>
      <c r="AZ103" s="229"/>
      <c r="BA103" s="229"/>
      <c r="BB103" s="229"/>
      <c r="BC103" s="229"/>
      <c r="BD103" s="229"/>
      <c r="BE103" s="229"/>
      <c r="BF103" s="229"/>
      <c r="BG103" s="229"/>
      <c r="BH103" s="229"/>
      <c r="BI103" s="229"/>
      <c r="BJ103" s="229"/>
      <c r="BK103" s="229"/>
      <c r="BL103" s="229"/>
      <c r="BM103" s="229"/>
      <c r="BN103" s="229"/>
      <c r="BO103" s="229"/>
      <c r="BP103" s="229"/>
      <c r="BQ103" s="229"/>
      <c r="BR103" s="229"/>
      <c r="BS103" s="229"/>
      <c r="BT103" s="229"/>
      <c r="BU103" s="229"/>
      <c r="BV103" s="229"/>
      <c r="BW103" s="229"/>
      <c r="BX103" s="229"/>
    </row>
    <row r="104" spans="3:76" hidden="1" outlineLevel="1">
      <c r="C104" s="311" t="s">
        <v>271</v>
      </c>
      <c r="D104" s="325" t="e">
        <f>BX95+BX96</f>
        <v>#REF!</v>
      </c>
      <c r="E104" s="229"/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229"/>
      <c r="Q104" s="229"/>
      <c r="R104" s="229"/>
      <c r="S104" s="229"/>
      <c r="T104" s="229"/>
      <c r="U104" s="229"/>
      <c r="V104" s="229"/>
      <c r="W104" s="229"/>
      <c r="X104" s="229"/>
      <c r="Y104" s="229"/>
      <c r="Z104" s="229"/>
      <c r="AA104" s="229"/>
      <c r="AB104" s="229"/>
      <c r="AC104" s="229"/>
      <c r="AD104" s="229"/>
      <c r="AE104" s="229"/>
      <c r="AF104" s="229"/>
      <c r="AG104" s="229"/>
      <c r="AH104" s="229"/>
      <c r="AI104" s="229"/>
      <c r="AJ104" s="229"/>
      <c r="AK104" s="229"/>
      <c r="AL104" s="229"/>
      <c r="AM104" s="229"/>
      <c r="AN104" s="229"/>
      <c r="AO104" s="229"/>
      <c r="AP104" s="229"/>
      <c r="AQ104" s="229"/>
      <c r="AR104" s="229"/>
      <c r="AS104" s="229"/>
      <c r="AT104" s="229"/>
      <c r="AU104" s="229"/>
      <c r="AV104" s="229"/>
      <c r="AW104" s="229"/>
      <c r="AX104" s="229"/>
      <c r="AY104" s="229"/>
      <c r="AZ104" s="229"/>
      <c r="BA104" s="229"/>
      <c r="BB104" s="229"/>
      <c r="BC104" s="229"/>
      <c r="BD104" s="229"/>
      <c r="BE104" s="229"/>
      <c r="BF104" s="229"/>
      <c r="BG104" s="229"/>
      <c r="BH104" s="229"/>
      <c r="BI104" s="229"/>
      <c r="BJ104" s="229"/>
      <c r="BK104" s="229"/>
      <c r="BL104" s="229"/>
      <c r="BM104" s="229"/>
      <c r="BN104" s="229"/>
      <c r="BO104" s="229"/>
      <c r="BP104" s="229"/>
      <c r="BQ104" s="229"/>
      <c r="BR104" s="229"/>
      <c r="BS104" s="229"/>
      <c r="BT104" s="229"/>
      <c r="BU104" s="229"/>
      <c r="BV104" s="229"/>
      <c r="BW104" s="229"/>
      <c r="BX104" s="229"/>
    </row>
    <row r="105" spans="3:76" hidden="1" outlineLevel="1">
      <c r="C105" s="311" t="s">
        <v>272</v>
      </c>
      <c r="D105" s="322" t="e">
        <f>(D104-D102)/D103</f>
        <v>#REF!</v>
      </c>
      <c r="E105" s="229"/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29"/>
      <c r="Y105" s="229"/>
      <c r="Z105" s="229"/>
      <c r="AA105" s="229"/>
      <c r="AB105" s="229"/>
      <c r="AC105" s="229"/>
      <c r="AD105" s="229"/>
      <c r="AE105" s="229"/>
      <c r="AF105" s="229"/>
      <c r="AG105" s="229"/>
      <c r="AH105" s="229"/>
      <c r="AI105" s="229"/>
      <c r="AJ105" s="229"/>
      <c r="AK105" s="229"/>
      <c r="AL105" s="229"/>
      <c r="AM105" s="229"/>
      <c r="AN105" s="229"/>
      <c r="AO105" s="229"/>
      <c r="AP105" s="229"/>
      <c r="AQ105" s="229"/>
      <c r="AR105" s="229"/>
      <c r="AS105" s="229"/>
      <c r="AT105" s="229"/>
      <c r="AU105" s="229"/>
      <c r="AV105" s="229"/>
      <c r="AW105" s="229"/>
      <c r="AX105" s="229"/>
      <c r="AY105" s="229"/>
      <c r="AZ105" s="229"/>
      <c r="BA105" s="229"/>
      <c r="BB105" s="229"/>
      <c r="BC105" s="229"/>
      <c r="BD105" s="229"/>
      <c r="BE105" s="229"/>
      <c r="BF105" s="229"/>
      <c r="BG105" s="229"/>
      <c r="BH105" s="229"/>
      <c r="BI105" s="229"/>
      <c r="BJ105" s="229"/>
      <c r="BK105" s="229"/>
      <c r="BL105" s="229"/>
      <c r="BM105" s="229"/>
      <c r="BN105" s="229"/>
      <c r="BO105" s="229"/>
      <c r="BP105" s="229"/>
      <c r="BQ105" s="229"/>
      <c r="BR105" s="229"/>
      <c r="BS105" s="229"/>
      <c r="BT105" s="229"/>
      <c r="BU105" s="229"/>
      <c r="BV105" s="229"/>
      <c r="BW105" s="229"/>
      <c r="BX105" s="229"/>
    </row>
  </sheetData>
  <mergeCells count="14">
    <mergeCell ref="B37:C37"/>
    <mergeCell ref="B39:C39"/>
    <mergeCell ref="E1:P1"/>
    <mergeCell ref="Q1:AB1"/>
    <mergeCell ref="AC1:AN1"/>
    <mergeCell ref="B3:B7"/>
    <mergeCell ref="BY1:CJ1"/>
    <mergeCell ref="CL3:CL7"/>
    <mergeCell ref="CL14:CL21"/>
    <mergeCell ref="CL24:CL34"/>
    <mergeCell ref="B8:B11"/>
    <mergeCell ref="AO1:AZ1"/>
    <mergeCell ref="BA1:BL1"/>
    <mergeCell ref="BM1:BX1"/>
  </mergeCells>
  <conditionalFormatting sqref="E39:CN39">
    <cfRule type="cellIs" dxfId="5" priority="2" operator="lessThan">
      <formula>0</formula>
    </cfRule>
  </conditionalFormatting>
  <conditionalFormatting sqref="F45:BS48 E46 BT46:BX46 E48 BT48:BX48 E60 F60:BX63 E62 E76 M76:BX76 F76:L79 E78 M78:BX78 E95:BX95">
    <cfRule type="cellIs" dxfId="4" priority="1" operator="equal">
      <formula>0</formula>
    </cfRule>
  </conditionalFormatting>
  <pageMargins left="0" right="0" top="0" bottom="0" header="0" footer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2:K9"/>
  <sheetViews>
    <sheetView workbookViewId="0">
      <selection activeCell="N7" sqref="N7"/>
    </sheetView>
  </sheetViews>
  <sheetFormatPr defaultColWidth="12.625" defaultRowHeight="15" customHeight="1"/>
  <cols>
    <col min="1" max="1" width="25.125" customWidth="1"/>
    <col min="4" max="4" width="13.375" customWidth="1"/>
  </cols>
  <sheetData>
    <row r="2" spans="1:11" ht="14.1">
      <c r="A2" s="412" t="s">
        <v>308</v>
      </c>
    </row>
    <row r="3" spans="1:11" ht="57" customHeight="1">
      <c r="A3" s="413"/>
      <c r="B3" s="414" t="s">
        <v>309</v>
      </c>
      <c r="C3" s="414" t="s">
        <v>120</v>
      </c>
      <c r="D3" s="414" t="s">
        <v>121</v>
      </c>
      <c r="E3" s="414" t="s">
        <v>123</v>
      </c>
      <c r="F3" s="414" t="s">
        <v>310</v>
      </c>
      <c r="G3" s="414" t="s">
        <v>311</v>
      </c>
      <c r="H3" s="414" t="s">
        <v>312</v>
      </c>
      <c r="I3" s="414" t="s">
        <v>313</v>
      </c>
    </row>
    <row r="4" spans="1:11">
      <c r="A4" s="415" t="s">
        <v>314</v>
      </c>
      <c r="B4" s="416">
        <v>2000</v>
      </c>
      <c r="C4" s="416">
        <v>54000</v>
      </c>
      <c r="D4" s="416">
        <v>155000</v>
      </c>
      <c r="E4" s="416">
        <v>155000</v>
      </c>
      <c r="F4" s="416">
        <v>195000</v>
      </c>
      <c r="G4" s="416">
        <v>245000</v>
      </c>
      <c r="H4" s="416">
        <v>27200</v>
      </c>
      <c r="I4" s="416">
        <v>18960</v>
      </c>
    </row>
    <row r="5" spans="1:11">
      <c r="A5" s="415" t="s">
        <v>315</v>
      </c>
      <c r="B5" s="416">
        <v>4000</v>
      </c>
      <c r="C5" s="416">
        <v>54000</v>
      </c>
      <c r="D5" s="416">
        <v>175000</v>
      </c>
      <c r="E5" s="416">
        <v>175000</v>
      </c>
      <c r="F5" s="416">
        <v>195000</v>
      </c>
      <c r="G5" s="416">
        <v>295000</v>
      </c>
      <c r="H5" s="416">
        <v>27000</v>
      </c>
      <c r="I5" s="416">
        <v>18960</v>
      </c>
    </row>
    <row r="6" spans="1:11">
      <c r="A6" s="415" t="s">
        <v>316</v>
      </c>
      <c r="B6" s="416">
        <v>6000</v>
      </c>
      <c r="C6" s="416">
        <v>54000</v>
      </c>
      <c r="D6" s="416">
        <v>185000</v>
      </c>
      <c r="E6" s="416">
        <v>185000</v>
      </c>
      <c r="F6" s="416">
        <v>195000</v>
      </c>
      <c r="G6" s="416">
        <v>295000</v>
      </c>
      <c r="H6" s="416">
        <v>27000</v>
      </c>
      <c r="I6" s="416">
        <v>22700</v>
      </c>
    </row>
    <row r="7" spans="1:11">
      <c r="A7" s="415" t="s">
        <v>317</v>
      </c>
      <c r="B7" s="416"/>
      <c r="C7" s="416">
        <v>54000</v>
      </c>
      <c r="D7" s="416">
        <v>205000</v>
      </c>
      <c r="E7" s="416">
        <v>205000</v>
      </c>
      <c r="F7" s="416">
        <v>195000</v>
      </c>
      <c r="G7" s="416">
        <v>350000</v>
      </c>
      <c r="H7" s="416">
        <v>35000</v>
      </c>
      <c r="I7" s="416">
        <v>29500</v>
      </c>
    </row>
    <row r="9" spans="1:11" ht="14.1">
      <c r="A9" s="580"/>
      <c r="B9" s="559"/>
      <c r="C9" s="559"/>
      <c r="D9" s="559"/>
      <c r="E9" s="559"/>
      <c r="F9" s="559"/>
      <c r="G9" s="559"/>
      <c r="H9" s="559"/>
      <c r="I9" s="559"/>
      <c r="J9" s="559"/>
      <c r="K9" s="559"/>
    </row>
  </sheetData>
  <mergeCells count="1">
    <mergeCell ref="A9:K9"/>
  </mergeCells>
  <pageMargins left="0" right="0" top="0" bottom="0" header="0" footer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R61"/>
  <sheetViews>
    <sheetView workbookViewId="0"/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7.87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27" width="7" customWidth="1"/>
  </cols>
  <sheetData>
    <row r="1" spans="1:18" ht="30" customHeight="1">
      <c r="A1" s="29"/>
      <c r="B1" s="556" t="s">
        <v>318</v>
      </c>
      <c r="C1" s="559"/>
      <c r="D1" s="559"/>
      <c r="E1" s="559"/>
      <c r="F1" s="559"/>
      <c r="G1" s="559"/>
      <c r="H1" s="559"/>
      <c r="I1" s="559"/>
      <c r="J1" s="559"/>
      <c r="K1" s="559"/>
      <c r="L1" s="559"/>
      <c r="M1" s="559"/>
      <c r="N1" s="559"/>
      <c r="O1" s="30"/>
      <c r="P1" s="30"/>
      <c r="Q1" s="30"/>
      <c r="R1" s="30"/>
    </row>
    <row r="2" spans="1:18" ht="18" customHeight="1">
      <c r="A2" s="31"/>
      <c r="B2" s="32"/>
      <c r="C2" s="33"/>
      <c r="D2" s="34"/>
      <c r="E2" s="35"/>
      <c r="F2" s="36"/>
      <c r="G2" s="36"/>
      <c r="H2" s="37"/>
      <c r="I2" s="37"/>
      <c r="J2" s="33"/>
      <c r="K2" s="33"/>
      <c r="L2" s="34"/>
      <c r="M2" s="35"/>
      <c r="N2" s="38"/>
      <c r="O2" s="37"/>
      <c r="P2" s="37"/>
      <c r="Q2" s="37"/>
      <c r="R2" s="37"/>
    </row>
    <row r="3" spans="1:18" ht="18" customHeight="1">
      <c r="A3" s="31"/>
      <c r="B3" s="30"/>
      <c r="C3" s="39"/>
      <c r="D3" s="40"/>
      <c r="F3" s="417"/>
      <c r="G3" s="42"/>
      <c r="H3" s="30"/>
      <c r="I3" s="30"/>
      <c r="J3" s="39"/>
      <c r="K3" s="39"/>
      <c r="L3" s="40"/>
      <c r="M3" s="43"/>
      <c r="N3" s="42"/>
      <c r="O3" s="30"/>
      <c r="P3" s="30"/>
      <c r="Q3" s="30"/>
      <c r="R3" s="30"/>
    </row>
    <row r="4" spans="1:18" ht="30" customHeight="1">
      <c r="A4" s="31"/>
      <c r="B4" s="516" t="s">
        <v>41</v>
      </c>
      <c r="C4" s="560"/>
      <c r="D4" s="560"/>
      <c r="E4" s="560"/>
      <c r="F4" s="561"/>
      <c r="G4" s="44"/>
      <c r="H4" s="30"/>
      <c r="I4" s="517" t="s">
        <v>42</v>
      </c>
      <c r="J4" s="560"/>
      <c r="K4" s="560"/>
      <c r="L4" s="560"/>
      <c r="M4" s="560"/>
      <c r="N4" s="561"/>
      <c r="O4" s="30"/>
      <c r="P4" s="30"/>
      <c r="Q4" s="517" t="s">
        <v>43</v>
      </c>
      <c r="R4" s="561"/>
    </row>
    <row r="5" spans="1:18" ht="18" customHeight="1">
      <c r="A5" s="31"/>
      <c r="B5" s="30"/>
      <c r="C5" s="39"/>
      <c r="D5" s="40"/>
      <c r="E5" s="39"/>
      <c r="F5" s="39"/>
      <c r="G5" s="45"/>
      <c r="H5" s="30"/>
      <c r="I5" s="30"/>
      <c r="J5" s="39"/>
      <c r="K5" s="39"/>
      <c r="L5" s="40"/>
      <c r="M5" s="43"/>
      <c r="N5" s="42"/>
      <c r="O5" s="30"/>
      <c r="P5" s="30"/>
    </row>
    <row r="6" spans="1:18" ht="18" customHeight="1">
      <c r="A6" s="31" t="s">
        <v>44</v>
      </c>
      <c r="B6" s="518" t="s">
        <v>45</v>
      </c>
      <c r="C6" s="560"/>
      <c r="D6" s="560"/>
      <c r="E6" s="560"/>
      <c r="F6" s="561"/>
      <c r="G6" s="46"/>
      <c r="H6" s="30"/>
      <c r="I6" s="519" t="s">
        <v>42</v>
      </c>
      <c r="J6" s="560"/>
      <c r="K6" s="560"/>
      <c r="L6" s="560"/>
      <c r="M6" s="560"/>
      <c r="N6" s="561"/>
      <c r="O6" s="30"/>
      <c r="P6" s="30"/>
      <c r="Q6" s="519" t="s">
        <v>46</v>
      </c>
      <c r="R6" s="561"/>
    </row>
    <row r="7" spans="1:18" ht="18" customHeight="1">
      <c r="A7" s="31"/>
      <c r="B7" s="47"/>
      <c r="C7" s="48" t="s">
        <v>47</v>
      </c>
      <c r="D7" s="48" t="s">
        <v>48</v>
      </c>
      <c r="E7" s="49" t="s">
        <v>49</v>
      </c>
      <c r="F7" s="50" t="s">
        <v>319</v>
      </c>
      <c r="G7" s="45"/>
      <c r="H7" s="30"/>
      <c r="I7" s="51"/>
      <c r="J7" s="49" t="s">
        <v>50</v>
      </c>
      <c r="K7" s="49" t="s">
        <v>51</v>
      </c>
      <c r="L7" s="49" t="s">
        <v>52</v>
      </c>
      <c r="M7" s="49" t="s">
        <v>53</v>
      </c>
      <c r="N7" s="52" t="s">
        <v>320</v>
      </c>
      <c r="O7" s="30"/>
      <c r="P7" s="30"/>
      <c r="Q7" s="53" t="s">
        <v>55</v>
      </c>
      <c r="R7" s="54">
        <v>0</v>
      </c>
    </row>
    <row r="8" spans="1:18" ht="18" customHeight="1">
      <c r="A8" s="31"/>
      <c r="B8" s="500" t="s">
        <v>321</v>
      </c>
      <c r="C8" s="55" t="s">
        <v>56</v>
      </c>
      <c r="D8" s="55">
        <v>6432</v>
      </c>
      <c r="E8" s="418">
        <v>10</v>
      </c>
      <c r="F8" s="66">
        <f>((E8*D8)*SUM(R7:R13))</f>
        <v>771840</v>
      </c>
      <c r="G8" s="58"/>
      <c r="H8" s="30"/>
      <c r="I8" s="59" t="str">
        <f>Rentroll!D2</f>
        <v>Penny</v>
      </c>
      <c r="J8" s="60">
        <f>Rentroll!F2</f>
        <v>1250</v>
      </c>
      <c r="K8" s="60" t="str">
        <f>Rentroll!E2</f>
        <v>shell and core</v>
      </c>
      <c r="L8" s="61">
        <f>Rentroll!I2</f>
        <v>312.5</v>
      </c>
      <c r="M8" s="61">
        <f>Rentroll!L2</f>
        <v>12.5</v>
      </c>
      <c r="N8" s="62">
        <f t="shared" ref="N8:N16" si="0">IF(J8&gt;0,J8,1)*(L8)</f>
        <v>390625</v>
      </c>
      <c r="O8" s="30"/>
      <c r="P8" s="30"/>
      <c r="Q8" s="63" t="s">
        <v>57</v>
      </c>
      <c r="R8" s="64">
        <v>6</v>
      </c>
    </row>
    <row r="9" spans="1:18" ht="18" customHeight="1">
      <c r="A9" s="31"/>
      <c r="B9" s="419" t="s">
        <v>322</v>
      </c>
      <c r="C9" s="420" t="s">
        <v>62</v>
      </c>
      <c r="D9" s="421">
        <v>0.02</v>
      </c>
      <c r="E9" s="422">
        <f>E8*D9</f>
        <v>0.2</v>
      </c>
      <c r="F9" s="423">
        <f>F8*D9</f>
        <v>15436.800000000001</v>
      </c>
      <c r="G9" s="67"/>
      <c r="H9" s="30"/>
      <c r="I9" s="59" t="str">
        <f>Rentroll!D3</f>
        <v>VOLNA PLOCHA</v>
      </c>
      <c r="J9" s="60">
        <f>Rentroll!F3</f>
        <v>545</v>
      </c>
      <c r="K9" s="60" t="str">
        <f>Rentroll!E3</f>
        <v>full fit-out</v>
      </c>
      <c r="L9" s="61">
        <f>Rentroll!I3</f>
        <v>250</v>
      </c>
      <c r="M9" s="61">
        <f>Rentroll!L3</f>
        <v>37.5</v>
      </c>
      <c r="N9" s="62">
        <f t="shared" si="0"/>
        <v>136250</v>
      </c>
      <c r="O9" s="30"/>
      <c r="P9" s="30"/>
      <c r="Q9" s="59" t="s">
        <v>60</v>
      </c>
      <c r="R9" s="70">
        <v>0</v>
      </c>
    </row>
    <row r="10" spans="1:18" ht="18" customHeight="1">
      <c r="A10" s="31"/>
      <c r="B10" s="75" t="s">
        <v>65</v>
      </c>
      <c r="C10" s="520">
        <f>SUM(F8:F9)</f>
        <v>787276.80000000005</v>
      </c>
      <c r="D10" s="560"/>
      <c r="E10" s="560"/>
      <c r="F10" s="561"/>
      <c r="G10" s="67"/>
      <c r="H10" s="30"/>
      <c r="I10" s="59" t="str">
        <f>Rentroll!D4</f>
        <v>Teta</v>
      </c>
      <c r="J10" s="60">
        <f>Rentroll!F4</f>
        <v>220</v>
      </c>
      <c r="K10" s="60" t="str">
        <f>Rentroll!E4</f>
        <v>full fit-out</v>
      </c>
      <c r="L10" s="61">
        <f>Rentroll!I4</f>
        <v>225</v>
      </c>
      <c r="M10" s="61">
        <f>Rentroll!L4</f>
        <v>37.5</v>
      </c>
      <c r="N10" s="62">
        <f t="shared" si="0"/>
        <v>49500</v>
      </c>
      <c r="O10" s="30"/>
      <c r="P10" s="30"/>
      <c r="Q10" s="59" t="s">
        <v>59</v>
      </c>
      <c r="R10" s="68">
        <v>0</v>
      </c>
    </row>
    <row r="11" spans="1:18" ht="18" customHeight="1">
      <c r="B11" s="79" t="s">
        <v>67</v>
      </c>
      <c r="C11" s="3"/>
      <c r="D11" s="3"/>
      <c r="E11" s="3"/>
      <c r="F11" s="80">
        <f>C10/J17</f>
        <v>369.4400750821211</v>
      </c>
      <c r="G11" s="67"/>
      <c r="H11" s="30"/>
      <c r="I11" s="59" t="str">
        <f>Rentroll!D5</f>
        <v>VOLNA PLOCHA</v>
      </c>
      <c r="J11" s="60">
        <f>Rentroll!F5</f>
        <v>70</v>
      </c>
      <c r="K11" s="60" t="str">
        <f>Rentroll!E5</f>
        <v>full fit-out</v>
      </c>
      <c r="L11" s="61">
        <f>Rentroll!I5</f>
        <v>500</v>
      </c>
      <c r="M11" s="61">
        <f>Rentroll!L5</f>
        <v>37.5</v>
      </c>
      <c r="N11" s="62">
        <f t="shared" si="0"/>
        <v>35000</v>
      </c>
      <c r="O11" s="30"/>
      <c r="P11" s="30"/>
      <c r="Q11" s="69" t="s">
        <v>57</v>
      </c>
      <c r="R11" s="64">
        <v>0</v>
      </c>
    </row>
    <row r="12" spans="1:18" ht="18" customHeight="1">
      <c r="B12" s="3"/>
      <c r="C12" s="3"/>
      <c r="D12" s="40"/>
      <c r="E12" s="43"/>
      <c r="F12" s="42"/>
      <c r="G12" s="72"/>
      <c r="H12" s="30"/>
      <c r="I12" s="59" t="str">
        <f>Rentroll!D6</f>
        <v>Traficon</v>
      </c>
      <c r="J12" s="60">
        <f>Rentroll!F6</f>
        <v>45</v>
      </c>
      <c r="K12" s="60" t="str">
        <f>Rentroll!E6</f>
        <v>full fit-out</v>
      </c>
      <c r="L12" s="61">
        <f>Rentroll!I6</f>
        <v>1000</v>
      </c>
      <c r="M12" s="61">
        <f>Rentroll!L6</f>
        <v>66.666666666666671</v>
      </c>
      <c r="N12" s="62">
        <f t="shared" si="0"/>
        <v>45000</v>
      </c>
      <c r="O12" s="30"/>
      <c r="P12" s="30"/>
      <c r="Q12" s="69" t="s">
        <v>60</v>
      </c>
      <c r="R12" s="70">
        <v>3</v>
      </c>
    </row>
    <row r="13" spans="1:18" ht="18" customHeight="1">
      <c r="A13" s="31" t="s">
        <v>68</v>
      </c>
      <c r="B13" s="518" t="s">
        <v>323</v>
      </c>
      <c r="C13" s="560"/>
      <c r="D13" s="560"/>
      <c r="E13" s="560"/>
      <c r="F13" s="561"/>
      <c r="G13" s="76"/>
      <c r="H13" s="30"/>
      <c r="I13" s="59" t="str">
        <f>Rentroll!D7</f>
        <v>MYČKA</v>
      </c>
      <c r="J13" s="60">
        <f>Rentroll!F7</f>
        <v>0</v>
      </c>
      <c r="K13" s="60" t="str">
        <f>Rentroll!E7</f>
        <v>pozemek</v>
      </c>
      <c r="L13" s="61">
        <f>Rentroll!I7</f>
        <v>0</v>
      </c>
      <c r="M13" s="61">
        <f>Rentroll!L7</f>
        <v>0</v>
      </c>
      <c r="N13" s="62">
        <f t="shared" si="0"/>
        <v>0</v>
      </c>
      <c r="O13" s="30"/>
      <c r="P13" s="30"/>
      <c r="Q13" s="59" t="s">
        <v>61</v>
      </c>
      <c r="R13" s="68">
        <v>3</v>
      </c>
    </row>
    <row r="14" spans="1:18" ht="18" customHeight="1">
      <c r="A14" s="31"/>
      <c r="B14" s="87"/>
      <c r="C14" s="88" t="s">
        <v>47</v>
      </c>
      <c r="D14" s="48" t="s">
        <v>72</v>
      </c>
      <c r="E14" s="88" t="s">
        <v>73</v>
      </c>
      <c r="F14" s="89"/>
      <c r="G14" s="76"/>
      <c r="H14" s="30"/>
      <c r="I14" s="59" t="str">
        <f>Rentroll!D8</f>
        <v>Alza</v>
      </c>
      <c r="J14" s="60">
        <f>Rentroll!F8</f>
        <v>1</v>
      </c>
      <c r="K14" s="60" t="str">
        <f>Rentroll!E8</f>
        <v>pozemek</v>
      </c>
      <c r="L14" s="61">
        <f>Rentroll!I8</f>
        <v>3365.75</v>
      </c>
      <c r="M14" s="61">
        <f>Rentroll!L8</f>
        <v>0</v>
      </c>
      <c r="N14" s="62">
        <f t="shared" si="0"/>
        <v>3365.75</v>
      </c>
      <c r="O14" s="30"/>
      <c r="P14" s="30"/>
      <c r="Q14" s="59" t="s">
        <v>63</v>
      </c>
      <c r="R14" s="68">
        <v>9</v>
      </c>
    </row>
    <row r="15" spans="1:18" ht="18" customHeight="1">
      <c r="A15" s="31"/>
      <c r="B15" s="424" t="s">
        <v>99</v>
      </c>
      <c r="C15" s="94">
        <v>1</v>
      </c>
      <c r="D15" s="95" t="s">
        <v>56</v>
      </c>
      <c r="E15" s="56">
        <v>20000</v>
      </c>
      <c r="F15" s="57">
        <f>(E15*J17)</f>
        <v>42620000</v>
      </c>
      <c r="G15" s="76"/>
      <c r="H15" s="30"/>
      <c r="I15" s="59">
        <f>Rentroll!D9</f>
        <v>0</v>
      </c>
      <c r="J15" s="60">
        <f>Rentroll!F9</f>
        <v>0</v>
      </c>
      <c r="K15" s="60">
        <f>Rentroll!E9</f>
        <v>0</v>
      </c>
      <c r="L15" s="61">
        <f>Rentroll!I9</f>
        <v>0</v>
      </c>
      <c r="M15" s="61">
        <f>Rentroll!L9</f>
        <v>0</v>
      </c>
      <c r="N15" s="62">
        <f t="shared" si="0"/>
        <v>0</v>
      </c>
      <c r="O15" s="30"/>
      <c r="P15" s="30"/>
      <c r="Q15" s="425"/>
      <c r="R15" s="426"/>
    </row>
    <row r="16" spans="1:18" ht="18" customHeight="1">
      <c r="A16" s="31"/>
      <c r="B16" s="427" t="s">
        <v>324</v>
      </c>
      <c r="C16" s="94">
        <v>1</v>
      </c>
      <c r="D16" s="95" t="s">
        <v>56</v>
      </c>
      <c r="E16" s="56">
        <v>10000</v>
      </c>
      <c r="F16" s="428">
        <f>SUMIF(K8:K15,"full fit-out",J8:J15)*E16</f>
        <v>8800000</v>
      </c>
      <c r="G16" s="76"/>
      <c r="H16" s="30"/>
      <c r="I16" s="59">
        <f>Rentroll!D10</f>
        <v>0</v>
      </c>
      <c r="J16" s="60">
        <f>Rentroll!F10</f>
        <v>0</v>
      </c>
      <c r="K16" s="60">
        <f>Rentroll!E10</f>
        <v>0</v>
      </c>
      <c r="L16" s="61">
        <f>Rentroll!I10</f>
        <v>0</v>
      </c>
      <c r="M16" s="61">
        <f>Rentroll!L10</f>
        <v>0</v>
      </c>
      <c r="N16" s="62">
        <f t="shared" si="0"/>
        <v>0</v>
      </c>
      <c r="O16" s="30"/>
      <c r="P16" s="30"/>
      <c r="Q16" s="73" t="s">
        <v>64</v>
      </c>
      <c r="R16" s="74">
        <v>3</v>
      </c>
    </row>
    <row r="17" spans="1:18" ht="18" customHeight="1">
      <c r="A17" s="31"/>
      <c r="B17" s="427" t="s">
        <v>101</v>
      </c>
      <c r="C17" s="94">
        <v>1</v>
      </c>
      <c r="D17" s="147" t="s">
        <v>56</v>
      </c>
      <c r="E17" s="56">
        <v>1500</v>
      </c>
      <c r="F17" s="428">
        <f>D8*E17</f>
        <v>9648000</v>
      </c>
      <c r="G17" s="76"/>
      <c r="H17" s="30"/>
      <c r="I17" s="81" t="s">
        <v>69</v>
      </c>
      <c r="J17" s="429">
        <f>SUM(J8:J16)</f>
        <v>2131</v>
      </c>
      <c r="K17" s="429" t="s">
        <v>70</v>
      </c>
      <c r="L17" s="430">
        <f t="shared" ref="L17:M17" si="1">SUM(L8:L16)</f>
        <v>5653.25</v>
      </c>
      <c r="M17" s="431">
        <f t="shared" si="1"/>
        <v>191.66666666666669</v>
      </c>
      <c r="N17" s="432"/>
      <c r="O17" s="30"/>
      <c r="P17" s="30"/>
      <c r="Q17" s="77" t="s">
        <v>66</v>
      </c>
      <c r="R17" s="78">
        <f>SUM(R7:R16)</f>
        <v>24</v>
      </c>
    </row>
    <row r="18" spans="1:18" ht="18" customHeight="1">
      <c r="B18" s="427" t="s">
        <v>103</v>
      </c>
      <c r="C18" s="433">
        <v>1</v>
      </c>
      <c r="D18" s="147" t="s">
        <v>56</v>
      </c>
      <c r="E18" s="434">
        <v>600</v>
      </c>
      <c r="F18" s="428">
        <f>D8*E18</f>
        <v>3859200</v>
      </c>
      <c r="G18" s="98"/>
      <c r="H18" s="30"/>
      <c r="I18" s="90" t="s">
        <v>74</v>
      </c>
      <c r="J18" s="557">
        <f>SUM(N8:N16)*12</f>
        <v>7916889</v>
      </c>
      <c r="K18" s="566"/>
      <c r="L18" s="566"/>
      <c r="M18" s="566"/>
      <c r="N18" s="564"/>
      <c r="O18" s="30"/>
      <c r="P18" s="30"/>
      <c r="Q18" s="30"/>
      <c r="R18" s="30"/>
    </row>
    <row r="19" spans="1:18" ht="18" customHeight="1">
      <c r="A19" s="31"/>
      <c r="B19" s="427" t="s">
        <v>325</v>
      </c>
      <c r="C19" s="433">
        <v>1</v>
      </c>
      <c r="D19" s="147" t="s">
        <v>56</v>
      </c>
      <c r="E19" s="434"/>
      <c r="F19" s="428">
        <f t="shared" ref="F19:F21" si="2">E19</f>
        <v>0</v>
      </c>
      <c r="G19" s="58"/>
      <c r="H19" s="30"/>
      <c r="I19" s="435" t="s">
        <v>326</v>
      </c>
      <c r="J19" s="501"/>
      <c r="K19" s="501"/>
      <c r="L19" s="501">
        <v>15</v>
      </c>
      <c r="M19" s="501"/>
      <c r="N19" s="436">
        <f>-L19*D8*12</f>
        <v>-1157760</v>
      </c>
      <c r="O19" s="30"/>
      <c r="P19" s="30"/>
      <c r="Q19" s="30"/>
      <c r="R19" s="30"/>
    </row>
    <row r="20" spans="1:18" ht="18" customHeight="1">
      <c r="A20" s="31"/>
      <c r="B20" s="427" t="s">
        <v>327</v>
      </c>
      <c r="C20" s="433">
        <v>1</v>
      </c>
      <c r="D20" s="147" t="s">
        <v>56</v>
      </c>
      <c r="E20" s="434">
        <v>2000000</v>
      </c>
      <c r="F20" s="428">
        <f t="shared" si="2"/>
        <v>2000000</v>
      </c>
      <c r="G20" s="98"/>
      <c r="H20" s="30"/>
      <c r="I20" s="99" t="s">
        <v>76</v>
      </c>
      <c r="J20" s="437"/>
      <c r="K20" s="437" t="s">
        <v>77</v>
      </c>
      <c r="L20" s="438"/>
      <c r="M20" s="439"/>
      <c r="N20" s="440">
        <f>(J18+N19)/C47</f>
        <v>7.8487420767975394E-2</v>
      </c>
      <c r="O20" s="30"/>
      <c r="P20" s="30"/>
      <c r="Q20" s="30"/>
      <c r="R20" s="30"/>
    </row>
    <row r="21" spans="1:18" ht="18" customHeight="1">
      <c r="A21" s="31"/>
      <c r="B21" s="427" t="s">
        <v>328</v>
      </c>
      <c r="C21" s="433">
        <v>1</v>
      </c>
      <c r="D21" s="147" t="s">
        <v>56</v>
      </c>
      <c r="E21" s="434">
        <v>1000000</v>
      </c>
      <c r="F21" s="428">
        <f t="shared" si="2"/>
        <v>1000000</v>
      </c>
      <c r="G21" s="114"/>
      <c r="H21" s="30"/>
      <c r="I21" s="106" t="s">
        <v>80</v>
      </c>
      <c r="J21" s="100"/>
      <c r="K21" s="107"/>
      <c r="L21" s="107"/>
      <c r="M21" s="108">
        <v>0.06</v>
      </c>
      <c r="N21" s="109">
        <f>N20/M21</f>
        <v>1.3081236794662565</v>
      </c>
      <c r="O21" s="30"/>
      <c r="P21" s="30"/>
      <c r="Q21" s="519" t="s">
        <v>329</v>
      </c>
      <c r="R21" s="561"/>
    </row>
    <row r="22" spans="1:18" ht="18" customHeight="1">
      <c r="B22" s="441" t="s">
        <v>330</v>
      </c>
      <c r="C22" s="442">
        <v>1</v>
      </c>
      <c r="D22" s="95" t="s">
        <v>62</v>
      </c>
      <c r="E22" s="443">
        <v>0.05</v>
      </c>
      <c r="F22" s="444">
        <f>SUM(F15:F17)*E22</f>
        <v>3053400</v>
      </c>
      <c r="G22" s="114"/>
      <c r="H22" s="30"/>
      <c r="I22" s="91" t="s">
        <v>83</v>
      </c>
      <c r="J22" s="107"/>
      <c r="K22" s="107"/>
      <c r="L22" s="107"/>
      <c r="M22" s="110">
        <v>15</v>
      </c>
      <c r="N22" s="111">
        <f>J17*M22*12</f>
        <v>383580</v>
      </c>
      <c r="O22" s="445"/>
      <c r="P22" s="30"/>
      <c r="Q22" s="446" t="s">
        <v>331</v>
      </c>
      <c r="R22" s="135">
        <v>0.255</v>
      </c>
    </row>
    <row r="23" spans="1:18" ht="18" customHeight="1">
      <c r="A23" s="31"/>
      <c r="B23" s="75" t="s">
        <v>65</v>
      </c>
      <c r="C23" s="520">
        <f>SUM(F15:F22)</f>
        <v>70980600</v>
      </c>
      <c r="D23" s="560"/>
      <c r="E23" s="560"/>
      <c r="F23" s="561"/>
      <c r="G23" s="114"/>
      <c r="H23" s="30"/>
      <c r="I23" s="115" t="s">
        <v>85</v>
      </c>
      <c r="J23" s="107"/>
      <c r="K23" s="107"/>
      <c r="L23" s="116"/>
      <c r="M23" s="117"/>
      <c r="N23" s="118">
        <f>(Rentroll!O13-N22+N19)/C47</f>
        <v>8.0991794044033477E-2</v>
      </c>
      <c r="O23" s="30"/>
      <c r="P23" s="30"/>
      <c r="Q23" s="91" t="s">
        <v>332</v>
      </c>
      <c r="R23" s="157">
        <f>R22*(C23+C44)</f>
        <v>21759169.689825002</v>
      </c>
    </row>
    <row r="24" spans="1:18" ht="18" customHeight="1">
      <c r="B24" s="79" t="s">
        <v>67</v>
      </c>
      <c r="C24" s="167"/>
      <c r="D24" s="167"/>
      <c r="E24" s="167"/>
      <c r="F24" s="447">
        <f>C23/J17</f>
        <v>33308.587517597371</v>
      </c>
      <c r="G24" s="114"/>
      <c r="H24" s="30"/>
      <c r="I24" s="121" t="s">
        <v>87</v>
      </c>
      <c r="J24" s="122"/>
      <c r="K24" s="122"/>
      <c r="L24" s="123"/>
      <c r="M24" s="124"/>
      <c r="N24" s="125">
        <v>7.1999999999999995E-2</v>
      </c>
      <c r="O24" s="30"/>
      <c r="P24" s="30"/>
      <c r="Q24" s="142" t="s">
        <v>86</v>
      </c>
      <c r="R24" s="120">
        <f>J26-R23-C23-C44+N25</f>
        <v>-13949601.815066662</v>
      </c>
    </row>
    <row r="25" spans="1:18" ht="18" customHeight="1">
      <c r="B25" s="30"/>
      <c r="C25" s="39"/>
      <c r="D25" s="40"/>
      <c r="E25" s="43"/>
      <c r="F25" s="42"/>
      <c r="G25" s="114"/>
      <c r="H25" s="30"/>
      <c r="I25" s="127" t="s">
        <v>91</v>
      </c>
      <c r="J25" s="128"/>
      <c r="K25" s="128"/>
      <c r="L25" s="129"/>
      <c r="M25" s="130">
        <v>0.5</v>
      </c>
      <c r="N25" s="448">
        <f>(J26-C47)*0.19*-M25</f>
        <v>-737146.57690833381</v>
      </c>
      <c r="O25" s="30"/>
      <c r="P25" s="30"/>
      <c r="Q25" s="143" t="s">
        <v>88</v>
      </c>
      <c r="R25" s="126">
        <f>R24-F39</f>
        <v>-13961410.967066662</v>
      </c>
    </row>
    <row r="26" spans="1:18" ht="29.25" customHeight="1">
      <c r="A26" s="31" t="s">
        <v>92</v>
      </c>
      <c r="B26" s="518" t="s">
        <v>333</v>
      </c>
      <c r="C26" s="560"/>
      <c r="D26" s="560"/>
      <c r="E26" s="560"/>
      <c r="F26" s="561"/>
      <c r="G26" s="114"/>
      <c r="H26" s="30"/>
      <c r="I26" s="139" t="s">
        <v>334</v>
      </c>
      <c r="J26" s="523">
        <f>(J18+N19)/N24</f>
        <v>93876791.666666672</v>
      </c>
      <c r="K26" s="560"/>
      <c r="L26" s="560"/>
      <c r="M26" s="560"/>
      <c r="N26" s="561"/>
      <c r="O26" s="30"/>
      <c r="P26" s="30"/>
    </row>
    <row r="27" spans="1:18" ht="18" customHeight="1">
      <c r="A27" s="31"/>
      <c r="B27" s="449"/>
      <c r="C27" s="450" t="s">
        <v>47</v>
      </c>
      <c r="D27" s="451" t="s">
        <v>72</v>
      </c>
      <c r="E27" s="452" t="s">
        <v>335</v>
      </c>
      <c r="F27" s="453"/>
      <c r="G27" s="114"/>
      <c r="H27" s="30"/>
      <c r="I27" s="30"/>
      <c r="J27" s="39"/>
      <c r="K27" s="39"/>
      <c r="L27" s="40"/>
      <c r="M27" s="43"/>
      <c r="N27" s="42"/>
      <c r="O27" s="30"/>
      <c r="P27" s="30"/>
      <c r="Q27" s="519" t="s">
        <v>105</v>
      </c>
      <c r="R27" s="561"/>
    </row>
    <row r="28" spans="1:18" ht="27" customHeight="1">
      <c r="A28" s="31"/>
      <c r="B28" s="454" t="s">
        <v>336</v>
      </c>
      <c r="C28" s="455">
        <v>1</v>
      </c>
      <c r="D28" s="456" t="s">
        <v>56</v>
      </c>
      <c r="E28" s="152">
        <v>0.05</v>
      </c>
      <c r="F28" s="453">
        <f t="shared" ref="F28:F30" si="3">E28*$C$23</f>
        <v>3549030</v>
      </c>
      <c r="G28" s="114"/>
      <c r="H28" s="30"/>
      <c r="I28" s="144"/>
      <c r="J28" s="145"/>
      <c r="K28" s="145"/>
      <c r="L28" s="145"/>
      <c r="M28" s="145"/>
      <c r="N28" s="146"/>
      <c r="O28" s="30"/>
      <c r="P28" s="30"/>
      <c r="Q28" s="446" t="str">
        <f>B8</f>
        <v>Pozemek</v>
      </c>
      <c r="R28" s="150">
        <f>C10</f>
        <v>787276.80000000005</v>
      </c>
    </row>
    <row r="29" spans="1:18" ht="27" customHeight="1">
      <c r="A29" s="31"/>
      <c r="B29" s="454" t="s">
        <v>337</v>
      </c>
      <c r="C29" s="455">
        <v>1</v>
      </c>
      <c r="D29" s="456" t="s">
        <v>56</v>
      </c>
      <c r="E29" s="152">
        <v>0.03</v>
      </c>
      <c r="F29" s="453">
        <f t="shared" si="3"/>
        <v>2129418</v>
      </c>
      <c r="G29" s="114"/>
      <c r="H29" s="30"/>
      <c r="I29" s="457" t="s">
        <v>104</v>
      </c>
      <c r="J29" s="480"/>
      <c r="K29" s="480"/>
      <c r="L29" s="480"/>
      <c r="M29" s="527">
        <f>J26-C47+N25</f>
        <v>7022291.0747583369</v>
      </c>
      <c r="N29" s="564"/>
      <c r="O29" s="30"/>
      <c r="P29" s="30"/>
      <c r="Q29" s="91" t="s">
        <v>106</v>
      </c>
      <c r="R29" s="157">
        <f>M29*25%</f>
        <v>1755572.7686895842</v>
      </c>
    </row>
    <row r="30" spans="1:18" ht="18" customHeight="1">
      <c r="A30" s="31"/>
      <c r="B30" s="454" t="s">
        <v>338</v>
      </c>
      <c r="C30" s="458">
        <v>1</v>
      </c>
      <c r="D30" s="455" t="s">
        <v>56</v>
      </c>
      <c r="E30" s="152">
        <f>0.7%</f>
        <v>6.9999999999999993E-3</v>
      </c>
      <c r="F30" s="453">
        <f t="shared" si="3"/>
        <v>496864.19999999995</v>
      </c>
      <c r="G30" s="114"/>
      <c r="H30" s="30"/>
      <c r="I30" s="457"/>
      <c r="J30" s="480"/>
      <c r="K30" s="480"/>
      <c r="L30" s="480"/>
      <c r="M30" s="566"/>
      <c r="N30" s="564"/>
      <c r="O30" s="30"/>
      <c r="P30" s="30"/>
      <c r="Q30" s="142" t="str">
        <f>B28</f>
        <v>Architekt, projektant</v>
      </c>
      <c r="R30" s="120">
        <f>F28</f>
        <v>3549030</v>
      </c>
    </row>
    <row r="31" spans="1:18" ht="18" customHeight="1">
      <c r="A31" s="31"/>
      <c r="B31" s="454" t="s">
        <v>225</v>
      </c>
      <c r="C31" s="455">
        <v>1</v>
      </c>
      <c r="D31" s="455" t="s">
        <v>339</v>
      </c>
      <c r="E31" s="152">
        <v>0.15</v>
      </c>
      <c r="F31" s="453">
        <f>E31*$J$18</f>
        <v>1187533.3499999999</v>
      </c>
      <c r="G31" s="114"/>
      <c r="H31" s="30"/>
      <c r="I31" s="153" t="s">
        <v>106</v>
      </c>
      <c r="J31" s="154"/>
      <c r="K31" s="154"/>
      <c r="L31" s="154"/>
      <c r="M31" s="154"/>
      <c r="N31" s="481">
        <f>M29/J26</f>
        <v>7.4803270862651122E-2</v>
      </c>
      <c r="O31" s="30"/>
      <c r="P31" s="30"/>
      <c r="Q31" s="143" t="s">
        <v>88</v>
      </c>
      <c r="R31" s="126">
        <f>SUM(R28:R30)</f>
        <v>6091879.5686895847</v>
      </c>
    </row>
    <row r="32" spans="1:18" ht="18" customHeight="1">
      <c r="A32" s="31"/>
      <c r="B32" s="454" t="s">
        <v>89</v>
      </c>
      <c r="C32" s="455">
        <v>1</v>
      </c>
      <c r="D32" s="455" t="s">
        <v>339</v>
      </c>
      <c r="E32" s="152">
        <v>0.01</v>
      </c>
      <c r="F32" s="453">
        <f>E32*$J$26</f>
        <v>938767.91666666674</v>
      </c>
      <c r="G32" s="114"/>
      <c r="H32" s="30"/>
      <c r="I32" s="153" t="s">
        <v>110</v>
      </c>
      <c r="J32" s="154"/>
      <c r="K32" s="155" t="s">
        <v>111</v>
      </c>
      <c r="L32" s="154"/>
      <c r="M32" s="154"/>
      <c r="N32" s="481">
        <f>M29/C47</f>
        <v>8.1543274930801837E-2</v>
      </c>
      <c r="O32" s="30"/>
      <c r="P32" s="30"/>
      <c r="Q32" s="30"/>
      <c r="R32" s="30"/>
    </row>
    <row r="33" spans="1:18" ht="18" customHeight="1">
      <c r="A33" s="31"/>
      <c r="B33" s="454" t="s">
        <v>340</v>
      </c>
      <c r="C33" s="455">
        <v>1</v>
      </c>
      <c r="D33" s="455" t="s">
        <v>339</v>
      </c>
      <c r="E33" s="152">
        <f>0.5%</f>
        <v>5.0000000000000001E-3</v>
      </c>
      <c r="F33" s="453">
        <f t="shared" ref="F33:F38" si="4">E33*$C$23</f>
        <v>354903</v>
      </c>
      <c r="G33" s="42"/>
      <c r="H33" s="148"/>
      <c r="I33" s="158" t="s">
        <v>113</v>
      </c>
      <c r="J33" s="159"/>
      <c r="K33" s="159"/>
      <c r="L33" s="159"/>
      <c r="M33" s="159"/>
      <c r="N33" s="483">
        <f>M29/(C47*E41)</f>
        <v>0.23298078551657672</v>
      </c>
      <c r="O33" s="30"/>
      <c r="P33" s="30"/>
      <c r="Q33" s="30"/>
      <c r="R33" s="30"/>
    </row>
    <row r="34" spans="1:18" ht="18" customHeight="1">
      <c r="A34" s="31"/>
      <c r="B34" s="454" t="s">
        <v>341</v>
      </c>
      <c r="C34" s="455">
        <v>1</v>
      </c>
      <c r="D34" s="455" t="s">
        <v>339</v>
      </c>
      <c r="E34" s="152">
        <f>0.2%</f>
        <v>2E-3</v>
      </c>
      <c r="F34" s="453">
        <f t="shared" si="4"/>
        <v>141961.20000000001</v>
      </c>
      <c r="G34" s="42"/>
      <c r="H34" s="148"/>
      <c r="I34" s="30"/>
      <c r="J34" s="39"/>
      <c r="K34" s="39"/>
      <c r="L34" s="40"/>
      <c r="M34" s="43"/>
      <c r="N34" s="42"/>
      <c r="O34" s="30"/>
      <c r="P34" s="30"/>
      <c r="Q34" s="30"/>
      <c r="R34" s="30"/>
    </row>
    <row r="35" spans="1:18" ht="24.75" customHeight="1">
      <c r="A35" s="31"/>
      <c r="B35" s="454" t="s">
        <v>342</v>
      </c>
      <c r="C35" s="458">
        <v>1</v>
      </c>
      <c r="D35" s="455" t="s">
        <v>56</v>
      </c>
      <c r="E35" s="152">
        <v>0</v>
      </c>
      <c r="F35" s="453">
        <f t="shared" si="4"/>
        <v>0</v>
      </c>
      <c r="G35" s="42"/>
      <c r="H35" s="148"/>
      <c r="I35" s="30"/>
      <c r="J35" s="39"/>
      <c r="K35" s="39"/>
      <c r="L35" s="40"/>
      <c r="M35" s="43"/>
      <c r="N35" s="42"/>
      <c r="O35" s="30"/>
      <c r="P35" s="30"/>
      <c r="Q35" s="30"/>
      <c r="R35" s="30"/>
    </row>
    <row r="36" spans="1:18" ht="18" customHeight="1">
      <c r="A36" s="31"/>
      <c r="B36" s="454" t="s">
        <v>343</v>
      </c>
      <c r="C36" s="458">
        <v>1</v>
      </c>
      <c r="D36" s="455" t="s">
        <v>56</v>
      </c>
      <c r="E36" s="152">
        <v>0</v>
      </c>
      <c r="F36" s="453">
        <f t="shared" si="4"/>
        <v>0</v>
      </c>
      <c r="G36" s="42"/>
      <c r="H36" s="30"/>
      <c r="I36" s="163"/>
      <c r="J36" s="30"/>
      <c r="K36" s="30"/>
      <c r="L36" s="30"/>
      <c r="M36" s="30"/>
      <c r="N36" s="162"/>
      <c r="O36" s="30"/>
      <c r="P36" s="30"/>
      <c r="Q36" s="30"/>
      <c r="R36" s="30"/>
    </row>
    <row r="37" spans="1:18" ht="18" customHeight="1">
      <c r="A37" s="31"/>
      <c r="B37" s="454" t="s">
        <v>344</v>
      </c>
      <c r="C37" s="458">
        <v>1</v>
      </c>
      <c r="D37" s="455" t="s">
        <v>56</v>
      </c>
      <c r="E37" s="152">
        <f>0.1%</f>
        <v>1E-3</v>
      </c>
      <c r="F37" s="453">
        <f t="shared" si="4"/>
        <v>70980.600000000006</v>
      </c>
      <c r="G37" s="42"/>
      <c r="H37" s="30"/>
      <c r="I37" s="459"/>
      <c r="J37" s="30"/>
      <c r="K37" s="30"/>
      <c r="L37" s="163"/>
      <c r="M37" s="163"/>
      <c r="N37" s="162"/>
      <c r="O37" s="30"/>
      <c r="P37" s="30"/>
      <c r="Q37" s="518" t="s">
        <v>116</v>
      </c>
      <c r="R37" s="561"/>
    </row>
    <row r="38" spans="1:18" ht="18" customHeight="1">
      <c r="A38" s="31"/>
      <c r="B38" s="454" t="s">
        <v>345</v>
      </c>
      <c r="C38" s="458">
        <v>1</v>
      </c>
      <c r="D38" s="455" t="s">
        <v>56</v>
      </c>
      <c r="E38" s="152">
        <f>0.3%</f>
        <v>3.0000000000000001E-3</v>
      </c>
      <c r="F38" s="453">
        <f t="shared" si="4"/>
        <v>212941.80000000002</v>
      </c>
      <c r="G38" s="42"/>
      <c r="H38" s="30"/>
      <c r="I38" s="459"/>
      <c r="J38" s="30"/>
      <c r="K38" s="30"/>
      <c r="L38" s="30"/>
      <c r="M38" s="30"/>
      <c r="N38" s="460"/>
      <c r="O38" s="30"/>
      <c r="P38" s="30"/>
      <c r="Q38" s="165" t="s">
        <v>117</v>
      </c>
      <c r="R38" s="166" t="s">
        <v>118</v>
      </c>
    </row>
    <row r="39" spans="1:18" ht="18" customHeight="1">
      <c r="A39" s="31"/>
      <c r="B39" s="502" t="s">
        <v>346</v>
      </c>
      <c r="C39" s="461">
        <v>0.15</v>
      </c>
      <c r="D39" s="455" t="s">
        <v>347</v>
      </c>
      <c r="E39" s="462">
        <v>0.1</v>
      </c>
      <c r="F39" s="453">
        <f>((C10*E39)*C39/12)*SUM(R7:R13)</f>
        <v>11809.152</v>
      </c>
      <c r="G39" s="42"/>
      <c r="H39" s="30"/>
      <c r="I39" s="463"/>
      <c r="J39" s="30"/>
      <c r="K39" s="30"/>
      <c r="L39" s="30"/>
      <c r="M39" s="79"/>
      <c r="N39" s="464"/>
      <c r="O39" s="30"/>
      <c r="P39" s="30"/>
      <c r="Q39" s="168">
        <f t="shared" ref="Q39:Q42" si="5">IF((($J$18+$N$19)/R39-$C$47+$N$24)&gt;0,($J$18/R39-$C$47+$N$24),0)</f>
        <v>23839437.723666672</v>
      </c>
      <c r="R39" s="169">
        <f>N24</f>
        <v>7.1999999999999995E-2</v>
      </c>
    </row>
    <row r="40" spans="1:18" ht="18" customHeight="1">
      <c r="A40" s="31"/>
      <c r="B40" s="502" t="s">
        <v>348</v>
      </c>
      <c r="C40" s="461">
        <v>0.1</v>
      </c>
      <c r="D40" s="455" t="s">
        <v>347</v>
      </c>
      <c r="E40" s="462">
        <v>0.65</v>
      </c>
      <c r="F40" s="453">
        <f>((C23*E40+SUM(F28:F38)*E40)*C40/12)*SUM(R14:R16)</f>
        <v>5204095.004333334</v>
      </c>
      <c r="G40" s="42"/>
      <c r="H40" s="30"/>
      <c r="I40" s="459"/>
      <c r="J40" s="30"/>
      <c r="K40" s="30"/>
      <c r="L40" s="30"/>
      <c r="N40" s="42"/>
      <c r="O40" s="30"/>
      <c r="P40" s="30"/>
      <c r="Q40" s="168">
        <f t="shared" si="5"/>
        <v>16699386.316740263</v>
      </c>
      <c r="R40" s="170">
        <f t="shared" ref="R40:R42" si="6">R39+0.5%</f>
        <v>7.6999999999999999E-2</v>
      </c>
    </row>
    <row r="41" spans="1:18" ht="18" customHeight="1">
      <c r="A41" s="31"/>
      <c r="B41" s="454" t="s">
        <v>349</v>
      </c>
      <c r="C41" s="461">
        <v>0</v>
      </c>
      <c r="D41" s="455" t="s">
        <v>347</v>
      </c>
      <c r="E41" s="462">
        <f>100%-E40</f>
        <v>0.35</v>
      </c>
      <c r="F41" s="453">
        <f>(((C23*E41+SUM(F28:F38)*E41)*C41/12)*SUM(R14:R16))</f>
        <v>0</v>
      </c>
      <c r="G41" s="42"/>
      <c r="H41" s="30"/>
      <c r="I41" s="30"/>
      <c r="J41" s="30"/>
      <c r="K41" s="30"/>
      <c r="L41" s="30"/>
      <c r="N41" s="42"/>
      <c r="O41" s="30"/>
      <c r="P41" s="30"/>
      <c r="Q41" s="168">
        <f t="shared" si="5"/>
        <v>0</v>
      </c>
      <c r="R41" s="118">
        <f t="shared" si="6"/>
        <v>8.2000000000000003E-2</v>
      </c>
    </row>
    <row r="42" spans="1:18" ht="18" customHeight="1">
      <c r="A42" s="31"/>
      <c r="B42" s="502" t="s">
        <v>350</v>
      </c>
      <c r="C42" s="461">
        <v>0.1</v>
      </c>
      <c r="D42" s="455" t="s">
        <v>347</v>
      </c>
      <c r="E42" s="462">
        <f t="shared" ref="E42:E43" si="7">E40</f>
        <v>0.65</v>
      </c>
      <c r="F42" s="453">
        <f>(((C10*E42)*C42/12)*SUM(R14:R16))</f>
        <v>51172.991999999998</v>
      </c>
      <c r="G42" s="42"/>
      <c r="H42" s="30"/>
      <c r="I42" s="30"/>
      <c r="J42" s="39"/>
      <c r="K42" s="39"/>
      <c r="L42" s="40"/>
      <c r="N42" s="42"/>
      <c r="O42" s="30"/>
      <c r="P42" s="30"/>
      <c r="Q42" s="168">
        <f t="shared" si="5"/>
        <v>0</v>
      </c>
      <c r="R42" s="484">
        <f t="shared" si="6"/>
        <v>8.7000000000000008E-2</v>
      </c>
    </row>
    <row r="43" spans="1:18" ht="18" customHeight="1">
      <c r="A43" s="31"/>
      <c r="B43" s="454" t="s">
        <v>351</v>
      </c>
      <c r="C43" s="461">
        <v>0</v>
      </c>
      <c r="D43" s="455" t="s">
        <v>347</v>
      </c>
      <c r="E43" s="462">
        <f t="shared" si="7"/>
        <v>0.35</v>
      </c>
      <c r="F43" s="453">
        <f>(((C10*E43)*C43/12)*SUM(R14:R16))</f>
        <v>0</v>
      </c>
      <c r="G43" s="42"/>
      <c r="H43" s="30"/>
      <c r="I43" s="30"/>
      <c r="J43" s="39"/>
      <c r="K43" s="39"/>
      <c r="L43" s="40"/>
      <c r="M43" s="79"/>
      <c r="N43" s="42"/>
      <c r="O43" s="30"/>
      <c r="P43" s="30"/>
      <c r="Q43" s="172">
        <f>($J$18+$N$19)/R43-$C$47+$N$24</f>
        <v>3.0994415228802197E-9</v>
      </c>
      <c r="R43" s="173">
        <f>(J18+N19)/($C$47-$N$24)</f>
        <v>7.8487420833596236E-2</v>
      </c>
    </row>
    <row r="44" spans="1:18" ht="18" customHeight="1">
      <c r="A44" s="31"/>
      <c r="B44" s="75" t="s">
        <v>65</v>
      </c>
      <c r="C44" s="520">
        <f>SUM(F28:F43)</f>
        <v>14349477.215000002</v>
      </c>
      <c r="D44" s="560"/>
      <c r="E44" s="560"/>
      <c r="F44" s="561"/>
      <c r="G44" s="42"/>
      <c r="H44" s="30"/>
      <c r="I44" s="30"/>
      <c r="J44" s="39"/>
      <c r="K44" s="39"/>
      <c r="L44" s="40"/>
      <c r="M44" s="43"/>
      <c r="N44" s="42"/>
      <c r="O44" s="30"/>
      <c r="P44" s="30"/>
      <c r="Q44" s="30"/>
      <c r="R44" s="39"/>
    </row>
    <row r="45" spans="1:18" ht="18" customHeight="1">
      <c r="A45" s="31"/>
      <c r="B45" s="465" t="s">
        <v>67</v>
      </c>
      <c r="C45" s="167"/>
      <c r="D45" s="167"/>
      <c r="E45" s="167"/>
      <c r="F45" s="447">
        <f>C44/J17</f>
        <v>6733.6824096668242</v>
      </c>
      <c r="G45" s="42"/>
      <c r="H45" s="30"/>
      <c r="I45" s="30"/>
      <c r="J45" s="39"/>
      <c r="K45" s="39"/>
      <c r="L45" s="40"/>
      <c r="M45" s="43"/>
      <c r="N45" s="42"/>
      <c r="O45" s="30"/>
      <c r="P45" s="30"/>
      <c r="Q45" s="30"/>
      <c r="R45" s="30"/>
    </row>
    <row r="46" spans="1:18" ht="18" customHeight="1">
      <c r="A46" s="31"/>
      <c r="B46" s="30"/>
      <c r="C46" s="39"/>
      <c r="D46" s="40"/>
      <c r="E46" s="43"/>
      <c r="F46" s="42"/>
      <c r="G46" s="42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9"/>
    </row>
    <row r="47" spans="1:18" ht="18" customHeight="1">
      <c r="A47" s="31"/>
      <c r="B47" s="197" t="s">
        <v>138</v>
      </c>
      <c r="C47" s="528">
        <f>SUM(C44,C23,C10)</f>
        <v>86117354.015000001</v>
      </c>
      <c r="D47" s="560"/>
      <c r="E47" s="560"/>
      <c r="F47" s="561"/>
      <c r="G47" s="42"/>
      <c r="H47" s="30"/>
      <c r="I47" s="30"/>
      <c r="J47" s="39"/>
      <c r="K47" s="39"/>
      <c r="L47" s="558"/>
      <c r="M47" s="559"/>
      <c r="N47" s="559"/>
      <c r="O47" s="30"/>
      <c r="P47" s="30"/>
      <c r="Q47" s="518" t="s">
        <v>122</v>
      </c>
      <c r="R47" s="561"/>
    </row>
    <row r="48" spans="1:18" ht="18" customHeight="1">
      <c r="A48" s="31"/>
      <c r="B48" s="30"/>
      <c r="C48" s="39"/>
      <c r="D48" s="40"/>
      <c r="E48" s="43"/>
      <c r="F48" s="42"/>
      <c r="G48" s="42"/>
      <c r="H48" s="30"/>
      <c r="I48" s="30"/>
      <c r="J48" s="39"/>
      <c r="K48" s="39"/>
      <c r="L48" s="40"/>
      <c r="M48" s="43"/>
      <c r="N48" s="42"/>
      <c r="O48" s="30"/>
      <c r="P48" s="30"/>
      <c r="Q48" s="165" t="s">
        <v>117</v>
      </c>
      <c r="R48" s="166" t="s">
        <v>124</v>
      </c>
    </row>
    <row r="49" spans="2:18" ht="18" customHeight="1">
      <c r="B49" s="198" t="s">
        <v>139</v>
      </c>
      <c r="C49" s="529">
        <f>C47/J17</f>
        <v>40411.710002346314</v>
      </c>
      <c r="D49" s="560"/>
      <c r="E49" s="560"/>
      <c r="F49" s="561"/>
      <c r="G49" s="42"/>
      <c r="H49" s="30"/>
      <c r="I49" s="30"/>
      <c r="J49" s="39"/>
      <c r="K49" s="39"/>
      <c r="L49" s="40"/>
      <c r="M49" s="43"/>
      <c r="N49" s="42"/>
      <c r="O49" s="30"/>
      <c r="P49" s="30"/>
      <c r="Q49" s="168">
        <f t="shared" ref="Q49:Q52" si="8">$J$26-$C$44-$C$10-$C$23*(1+R49)</f>
        <v>7759437.651666671</v>
      </c>
      <c r="R49" s="169">
        <v>0</v>
      </c>
    </row>
    <row r="50" spans="2:18" ht="18" customHeight="1">
      <c r="B50" s="30"/>
      <c r="C50" s="39"/>
      <c r="D50" s="40"/>
      <c r="E50" s="43"/>
      <c r="F50" s="42"/>
      <c r="G50" s="42"/>
      <c r="H50" s="30"/>
      <c r="I50" s="30"/>
      <c r="J50" s="39"/>
      <c r="K50" s="39"/>
      <c r="L50" s="40"/>
      <c r="M50" s="43"/>
      <c r="N50" s="42"/>
      <c r="O50" s="30"/>
      <c r="P50" s="30"/>
      <c r="Q50" s="168">
        <f t="shared" si="8"/>
        <v>661377.65166667104</v>
      </c>
      <c r="R50" s="170">
        <v>0.1</v>
      </c>
    </row>
    <row r="51" spans="2:18" ht="18" customHeight="1">
      <c r="G51" s="42"/>
      <c r="H51" s="30"/>
      <c r="I51" s="30"/>
      <c r="J51" s="39"/>
      <c r="K51" s="39"/>
      <c r="L51" s="40"/>
      <c r="M51" s="43"/>
      <c r="N51" s="42"/>
      <c r="O51" s="30"/>
      <c r="P51" s="30"/>
      <c r="Q51" s="168">
        <f t="shared" si="8"/>
        <v>-9985712.348333329</v>
      </c>
      <c r="R51" s="118">
        <v>0.25</v>
      </c>
    </row>
    <row r="52" spans="2:18" ht="18" customHeight="1">
      <c r="F52" s="417"/>
      <c r="G52" s="42"/>
      <c r="H52" s="30"/>
      <c r="I52" s="30"/>
      <c r="J52" s="39"/>
      <c r="K52" s="39"/>
      <c r="L52" s="40"/>
      <c r="M52" s="43"/>
      <c r="N52" s="42"/>
      <c r="O52" s="30"/>
      <c r="P52" s="30"/>
      <c r="Q52" s="172">
        <f t="shared" si="8"/>
        <v>-7.1999996900558472E-2</v>
      </c>
      <c r="R52" s="173">
        <f>(J26-C44-C10+N24)/C23-1</f>
        <v>0.1093177251765507</v>
      </c>
    </row>
    <row r="53" spans="2:18" ht="18" customHeight="1">
      <c r="G53" s="42"/>
      <c r="H53" s="30"/>
      <c r="I53" s="30"/>
      <c r="J53" s="39"/>
      <c r="K53" s="39"/>
      <c r="L53" s="40"/>
      <c r="M53" s="43"/>
      <c r="N53" s="42"/>
      <c r="O53" s="30"/>
      <c r="P53" s="30"/>
      <c r="Q53" s="30"/>
      <c r="R53" s="30"/>
    </row>
    <row r="54" spans="2:18" ht="18" customHeight="1">
      <c r="G54" s="42"/>
      <c r="H54" s="30"/>
      <c r="I54" s="30"/>
      <c r="J54" s="39"/>
      <c r="K54" s="39"/>
      <c r="L54" s="40"/>
      <c r="M54" s="43"/>
      <c r="N54" s="42"/>
      <c r="O54" s="30"/>
      <c r="P54" s="30"/>
      <c r="Q54" s="30"/>
      <c r="R54" s="30"/>
    </row>
    <row r="55" spans="2:18" ht="18" customHeight="1">
      <c r="G55" s="42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ht="18" customHeight="1">
      <c r="B56" s="30"/>
      <c r="C56" s="39"/>
      <c r="D56" s="40"/>
      <c r="E56" s="43"/>
      <c r="F56" s="42"/>
      <c r="G56" s="42"/>
      <c r="H56" s="30"/>
      <c r="I56" s="30"/>
      <c r="J56" s="30"/>
      <c r="K56" s="30"/>
      <c r="L56" s="30"/>
      <c r="M56" s="30"/>
      <c r="N56" s="30"/>
      <c r="O56" s="30"/>
      <c r="P56" s="30"/>
      <c r="Q56" s="518" t="s">
        <v>126</v>
      </c>
      <c r="R56" s="561"/>
    </row>
    <row r="57" spans="2:18" ht="18" customHeight="1">
      <c r="B57" s="30"/>
      <c r="C57" s="39"/>
      <c r="D57" s="40"/>
      <c r="E57" s="43"/>
      <c r="F57" s="42"/>
      <c r="G57" s="42"/>
      <c r="H57" s="30"/>
      <c r="I57" s="30"/>
      <c r="J57" s="30"/>
      <c r="K57" s="30"/>
      <c r="L57" s="30"/>
      <c r="M57" s="30"/>
      <c r="N57" s="30"/>
      <c r="O57" s="30"/>
      <c r="P57" s="30"/>
      <c r="Q57" s="165" t="s">
        <v>117</v>
      </c>
      <c r="R57" s="166" t="s">
        <v>127</v>
      </c>
    </row>
    <row r="58" spans="2:18" ht="18" customHeight="1">
      <c r="B58" s="30"/>
      <c r="C58" s="39"/>
      <c r="D58" s="40"/>
      <c r="E58" s="43"/>
      <c r="F58" s="42"/>
      <c r="G58" s="42"/>
      <c r="H58" s="30"/>
      <c r="I58" s="30"/>
      <c r="J58" s="30"/>
      <c r="K58" s="30"/>
      <c r="L58" s="30"/>
      <c r="M58" s="30"/>
      <c r="N58" s="30"/>
      <c r="O58" s="30"/>
      <c r="P58" s="30"/>
      <c r="Q58" s="168">
        <f t="shared" ref="Q58:Q61" si="9">$J$26+-$C$10-$C$23-SUM($F$28:$F$38)-(($C$10*$E$39)*$C$39/12)*(SUM($R$7:$R$13)+R58)-(($C$23*$E$40+SUM($F$28:$F$38)*$E$40)*$C$40/12)*(SUM($R$14:$R$16)+R58)-(($C$10*$E$42)*$C$42/12)*(SUM($R$14:$R$16)+R58)</f>
        <v>7759437.6516666738</v>
      </c>
      <c r="R58" s="180">
        <v>0</v>
      </c>
    </row>
    <row r="59" spans="2:18" ht="18" customHeight="1">
      <c r="B59" s="30"/>
      <c r="C59" s="39"/>
      <c r="D59" s="40"/>
      <c r="E59" s="43"/>
      <c r="F59" s="42"/>
      <c r="G59" s="42"/>
      <c r="H59" s="30"/>
      <c r="I59" s="30"/>
      <c r="J59" s="30"/>
      <c r="K59" s="30"/>
      <c r="L59" s="30"/>
      <c r="M59" s="30"/>
      <c r="N59" s="30"/>
      <c r="O59" s="30"/>
      <c r="P59" s="30"/>
      <c r="Q59" s="168">
        <f t="shared" si="9"/>
        <v>5125899.0775000071</v>
      </c>
      <c r="R59" s="180">
        <v>6</v>
      </c>
    </row>
    <row r="60" spans="2:18" ht="18" customHeight="1">
      <c r="B60" s="30"/>
      <c r="C60" s="39"/>
      <c r="D60" s="40"/>
      <c r="E60" s="43"/>
      <c r="F60" s="42"/>
      <c r="G60" s="42"/>
      <c r="H60" s="30"/>
      <c r="I60" s="30"/>
      <c r="J60" s="30"/>
      <c r="K60" s="30"/>
      <c r="L60" s="30"/>
      <c r="M60" s="30"/>
      <c r="N60" s="30"/>
      <c r="O60" s="30"/>
      <c r="P60" s="30"/>
      <c r="Q60" s="168">
        <f t="shared" si="9"/>
        <v>2492360.5033333404</v>
      </c>
      <c r="R60" s="180">
        <v>12</v>
      </c>
    </row>
    <row r="61" spans="2:18" ht="18" customHeight="1">
      <c r="B61" s="30"/>
      <c r="C61" s="39"/>
      <c r="D61" s="40"/>
      <c r="E61" s="43"/>
      <c r="F61" s="42"/>
      <c r="G61" s="42"/>
      <c r="H61" s="30"/>
      <c r="I61" s="30"/>
      <c r="J61" s="30"/>
      <c r="K61" s="30"/>
      <c r="L61" s="30"/>
      <c r="M61" s="30"/>
      <c r="N61" s="30"/>
      <c r="O61" s="30"/>
      <c r="P61" s="30"/>
      <c r="Q61" s="172">
        <f t="shared" si="9"/>
        <v>-2774716.644999994</v>
      </c>
      <c r="R61" s="466">
        <v>24</v>
      </c>
    </row>
  </sheetData>
  <mergeCells count="23"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  <mergeCell ref="C10:F10"/>
    <mergeCell ref="B13:F13"/>
    <mergeCell ref="J18:N18"/>
    <mergeCell ref="Q21:R21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95"/>
  <sheetViews>
    <sheetView topLeftCell="B1" workbookViewId="0">
      <selection activeCell="F36" sqref="F36"/>
    </sheetView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14.12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19" width="7" customWidth="1"/>
    <col min="20" max="20" width="40.625" customWidth="1"/>
    <col min="21" max="21" width="20.625" customWidth="1"/>
    <col min="22" max="28" width="7" customWidth="1"/>
  </cols>
  <sheetData>
    <row r="1" spans="1:18" ht="30" customHeight="1">
      <c r="A1" s="29"/>
      <c r="B1" s="515" t="s">
        <v>40</v>
      </c>
      <c r="C1" s="559"/>
      <c r="D1" s="559"/>
      <c r="E1" s="559"/>
      <c r="F1" s="559"/>
      <c r="G1" s="559"/>
      <c r="H1" s="559"/>
      <c r="I1" s="559"/>
      <c r="J1" s="559"/>
      <c r="K1" s="559"/>
      <c r="L1" s="559"/>
      <c r="M1" s="559"/>
      <c r="N1" s="559"/>
      <c r="O1" s="30"/>
      <c r="P1" s="30"/>
      <c r="Q1" s="30"/>
      <c r="R1" s="30"/>
    </row>
    <row r="2" spans="1:18" ht="18" customHeight="1">
      <c r="A2" s="31"/>
      <c r="B2" s="32"/>
      <c r="C2" s="33"/>
      <c r="D2" s="34"/>
      <c r="E2" s="35"/>
      <c r="F2" s="36"/>
      <c r="G2" s="36"/>
      <c r="H2" s="37"/>
      <c r="I2" s="37"/>
      <c r="J2" s="33"/>
      <c r="K2" s="33"/>
      <c r="L2" s="34"/>
      <c r="M2" s="35"/>
      <c r="N2" s="38"/>
      <c r="O2" s="37"/>
      <c r="P2" s="37"/>
      <c r="Q2" s="37"/>
      <c r="R2" s="37"/>
    </row>
    <row r="3" spans="1:18" ht="18" customHeight="1">
      <c r="A3" s="31"/>
      <c r="B3" s="30"/>
      <c r="C3" s="39"/>
      <c r="D3" s="40"/>
      <c r="E3" s="41"/>
      <c r="G3" s="42"/>
      <c r="H3" s="30"/>
      <c r="I3" s="30"/>
      <c r="J3" s="39"/>
      <c r="K3" s="39"/>
      <c r="L3" s="40"/>
      <c r="M3" s="43"/>
      <c r="N3" s="42"/>
      <c r="O3" s="30"/>
      <c r="P3" s="30"/>
      <c r="Q3" s="30"/>
      <c r="R3" s="30"/>
    </row>
    <row r="4" spans="1:18" ht="30" customHeight="1">
      <c r="A4" s="31"/>
      <c r="B4" s="516" t="s">
        <v>41</v>
      </c>
      <c r="C4" s="560"/>
      <c r="D4" s="560"/>
      <c r="E4" s="560"/>
      <c r="F4" s="561"/>
      <c r="G4" s="44"/>
      <c r="H4" s="30"/>
      <c r="I4" s="517" t="s">
        <v>42</v>
      </c>
      <c r="J4" s="560"/>
      <c r="K4" s="560"/>
      <c r="L4" s="560"/>
      <c r="M4" s="560"/>
      <c r="N4" s="561"/>
      <c r="O4" s="44"/>
      <c r="P4" s="30"/>
      <c r="Q4" s="517" t="s">
        <v>43</v>
      </c>
      <c r="R4" s="561"/>
    </row>
    <row r="5" spans="1:18" ht="18" customHeight="1">
      <c r="A5" s="31"/>
      <c r="B5" s="30"/>
      <c r="C5" s="39"/>
      <c r="D5" s="40"/>
      <c r="E5" s="39"/>
      <c r="F5" s="39"/>
      <c r="G5" s="45"/>
      <c r="H5" s="30"/>
      <c r="I5" s="30"/>
      <c r="J5" s="39"/>
      <c r="K5" s="39"/>
      <c r="L5" s="40"/>
      <c r="M5" s="43"/>
      <c r="N5" s="42"/>
      <c r="O5" s="45"/>
      <c r="P5" s="30"/>
    </row>
    <row r="6" spans="1:18" ht="18" customHeight="1">
      <c r="A6" s="31" t="s">
        <v>44</v>
      </c>
      <c r="B6" s="518" t="s">
        <v>45</v>
      </c>
      <c r="C6" s="560"/>
      <c r="D6" s="560"/>
      <c r="E6" s="560"/>
      <c r="F6" s="561"/>
      <c r="G6" s="46"/>
      <c r="H6" s="30"/>
      <c r="I6" s="519" t="s">
        <v>42</v>
      </c>
      <c r="J6" s="560"/>
      <c r="K6" s="560"/>
      <c r="L6" s="560"/>
      <c r="M6" s="560"/>
      <c r="N6" s="561"/>
      <c r="O6" s="46"/>
      <c r="P6" s="30"/>
      <c r="Q6" s="519" t="s">
        <v>46</v>
      </c>
      <c r="R6" s="561"/>
    </row>
    <row r="7" spans="1:18" ht="18" customHeight="1">
      <c r="A7" s="31"/>
      <c r="B7" s="47"/>
      <c r="C7" s="48" t="s">
        <v>47</v>
      </c>
      <c r="D7" s="48" t="s">
        <v>48</v>
      </c>
      <c r="E7" s="49" t="s">
        <v>49</v>
      </c>
      <c r="F7" s="50"/>
      <c r="G7" s="45"/>
      <c r="H7" s="30"/>
      <c r="I7" s="51"/>
      <c r="J7" s="49" t="s">
        <v>50</v>
      </c>
      <c r="K7" s="49" t="s">
        <v>51</v>
      </c>
      <c r="L7" s="49" t="s">
        <v>52</v>
      </c>
      <c r="M7" s="49" t="s">
        <v>53</v>
      </c>
      <c r="N7" s="52" t="s">
        <v>54</v>
      </c>
      <c r="O7" s="45"/>
      <c r="P7" s="30"/>
      <c r="Q7" s="53" t="s">
        <v>55</v>
      </c>
      <c r="R7" s="54">
        <v>0</v>
      </c>
    </row>
    <row r="8" spans="1:18" ht="18" customHeight="1">
      <c r="A8" s="31"/>
      <c r="B8" s="470" t="str">
        <f>'Cash-flow BASE'!C19</f>
        <v>Nákup nemovitosti/pozemků</v>
      </c>
      <c r="C8" s="55" t="s">
        <v>56</v>
      </c>
      <c r="D8" s="55">
        <v>5523</v>
      </c>
      <c r="E8" s="56">
        <v>1524.93</v>
      </c>
      <c r="F8" s="57">
        <f>D8*E8</f>
        <v>8422188.3900000006</v>
      </c>
      <c r="G8" s="58"/>
      <c r="H8" s="30"/>
      <c r="I8" s="59" t="str">
        <f>Rentroll!D2</f>
        <v>Penny</v>
      </c>
      <c r="J8" s="60">
        <f>Rentroll!F2</f>
        <v>1250</v>
      </c>
      <c r="K8" s="60" t="str">
        <f>Rentroll!E2</f>
        <v>shell and core</v>
      </c>
      <c r="L8" s="61">
        <f>Rentroll!I2</f>
        <v>312.5</v>
      </c>
      <c r="M8" s="61">
        <f>Rentroll!L2</f>
        <v>12.5</v>
      </c>
      <c r="N8" s="62">
        <f>Rentroll!J2+Rentroll!M2</f>
        <v>406250</v>
      </c>
      <c r="O8" s="58"/>
      <c r="P8" s="30"/>
      <c r="Q8" s="63" t="s">
        <v>57</v>
      </c>
      <c r="R8" s="64">
        <v>7</v>
      </c>
    </row>
    <row r="9" spans="1:18" ht="18" customHeight="1">
      <c r="A9" s="31"/>
      <c r="B9" s="470" t="s">
        <v>58</v>
      </c>
      <c r="C9" s="55" t="s">
        <v>56</v>
      </c>
      <c r="D9" s="55"/>
      <c r="E9" s="65"/>
      <c r="F9" s="66">
        <f>-(11526*2100-11526*E8)</f>
        <v>-6628256.8200000003</v>
      </c>
      <c r="G9" s="67"/>
      <c r="H9" s="30"/>
      <c r="I9" s="59" t="str">
        <f>Rentroll!D3</f>
        <v>VOLNA PLOCHA</v>
      </c>
      <c r="J9" s="60">
        <f>Rentroll!F3</f>
        <v>545</v>
      </c>
      <c r="K9" s="60" t="str">
        <f>Rentroll!E3</f>
        <v>full fit-out</v>
      </c>
      <c r="L9" s="61">
        <f>Rentroll!I3</f>
        <v>250</v>
      </c>
      <c r="M9" s="61">
        <f>Rentroll!L3</f>
        <v>37.5</v>
      </c>
      <c r="N9" s="62">
        <f>Rentroll!J3+Rentroll!M3</f>
        <v>156687.5</v>
      </c>
      <c r="O9" s="67"/>
      <c r="P9" s="30"/>
      <c r="Q9" s="59" t="s">
        <v>59</v>
      </c>
      <c r="R9" s="68">
        <v>2</v>
      </c>
    </row>
    <row r="10" spans="1:18" ht="18" customHeight="1">
      <c r="A10" s="31"/>
      <c r="B10" s="470" t="str">
        <f>'Cash-flow BASE'!$C$20</f>
        <v>ZPF</v>
      </c>
      <c r="C10" s="55" t="s">
        <v>56</v>
      </c>
      <c r="D10" s="55">
        <f>D8</f>
        <v>5523</v>
      </c>
      <c r="E10" s="65">
        <v>0</v>
      </c>
      <c r="F10" s="66">
        <v>100000</v>
      </c>
      <c r="G10" s="67"/>
      <c r="H10" s="30"/>
      <c r="I10" s="59" t="str">
        <f>Rentroll!D4</f>
        <v>Teta</v>
      </c>
      <c r="J10" s="60">
        <f>Rentroll!F4</f>
        <v>220</v>
      </c>
      <c r="K10" s="60" t="str">
        <f>Rentroll!E4</f>
        <v>full fit-out</v>
      </c>
      <c r="L10" s="61">
        <f>Rentroll!I4</f>
        <v>225</v>
      </c>
      <c r="M10" s="61">
        <f>Rentroll!L4</f>
        <v>37.5</v>
      </c>
      <c r="N10" s="62">
        <f>Rentroll!J4+Rentroll!M4</f>
        <v>57750</v>
      </c>
      <c r="O10" s="67"/>
      <c r="P10" s="30"/>
      <c r="Q10" s="69" t="s">
        <v>60</v>
      </c>
      <c r="R10" s="70">
        <v>3</v>
      </c>
    </row>
    <row r="11" spans="1:18" ht="18" customHeight="1">
      <c r="A11" s="31"/>
      <c r="B11" s="470" t="str">
        <f>'Cash-flow BASE'!$C$21</f>
        <v>Předakviziční analýza</v>
      </c>
      <c r="C11" s="55" t="s">
        <v>56</v>
      </c>
      <c r="D11" s="55"/>
      <c r="E11" s="65"/>
      <c r="F11" s="66">
        <f>250000</f>
        <v>250000</v>
      </c>
      <c r="G11" s="67"/>
      <c r="H11" s="30"/>
      <c r="I11" s="59" t="str">
        <f>Rentroll!D5</f>
        <v>VOLNA PLOCHA</v>
      </c>
      <c r="J11" s="60">
        <f>Rentroll!F5</f>
        <v>70</v>
      </c>
      <c r="K11" s="60" t="str">
        <f>Rentroll!E5</f>
        <v>full fit-out</v>
      </c>
      <c r="L11" s="61">
        <f>Rentroll!I5</f>
        <v>500</v>
      </c>
      <c r="M11" s="61">
        <f>Rentroll!L5</f>
        <v>37.5</v>
      </c>
      <c r="N11" s="62">
        <f>Rentroll!J5+Rentroll!M5</f>
        <v>37625</v>
      </c>
      <c r="O11" s="67"/>
      <c r="P11" s="30"/>
      <c r="Q11" s="59" t="s">
        <v>61</v>
      </c>
      <c r="R11" s="68">
        <v>1</v>
      </c>
    </row>
    <row r="12" spans="1:18" ht="18" customHeight="1">
      <c r="B12" s="470" t="str">
        <f>'Cash-flow BASE'!$C$22</f>
        <v>Provize za nákup (INT)</v>
      </c>
      <c r="C12" s="55" t="s">
        <v>62</v>
      </c>
      <c r="D12" s="71">
        <v>0.03</v>
      </c>
      <c r="E12" s="65">
        <f>F12/D8</f>
        <v>45.747900000000001</v>
      </c>
      <c r="F12" s="66">
        <f>F8*D12</f>
        <v>252665.65170000002</v>
      </c>
      <c r="G12" s="67"/>
      <c r="H12" s="30"/>
      <c r="I12" s="59" t="str">
        <f>Rentroll!D6</f>
        <v>Traficon</v>
      </c>
      <c r="J12" s="60">
        <f>Rentroll!F6</f>
        <v>45</v>
      </c>
      <c r="K12" s="60" t="str">
        <f>Rentroll!E6</f>
        <v>full fit-out</v>
      </c>
      <c r="L12" s="61">
        <f>Rentroll!I6</f>
        <v>1000</v>
      </c>
      <c r="M12" s="61">
        <f>Rentroll!L6</f>
        <v>66.666666666666671</v>
      </c>
      <c r="N12" s="62">
        <f>Rentroll!J6+Rentroll!M6</f>
        <v>48000</v>
      </c>
      <c r="O12" s="67"/>
      <c r="P12" s="30"/>
      <c r="Q12" s="59" t="s">
        <v>63</v>
      </c>
      <c r="R12" s="68">
        <v>9</v>
      </c>
    </row>
    <row r="13" spans="1:18" ht="18" customHeight="1">
      <c r="B13" s="470" t="str">
        <f>'Cash-flow BASE'!$C$23</f>
        <v>Provize za nákup (EXT)</v>
      </c>
      <c r="C13" s="55" t="s">
        <v>62</v>
      </c>
      <c r="D13" s="71">
        <v>0.03</v>
      </c>
      <c r="E13" s="65">
        <f>F13/D8</f>
        <v>36.003567734926669</v>
      </c>
      <c r="F13" s="66">
        <f>-F9*D13</f>
        <v>198847.7046</v>
      </c>
      <c r="G13" s="72"/>
      <c r="H13" s="30"/>
      <c r="I13" s="59" t="str">
        <f>Rentroll!D7</f>
        <v>MYČKA</v>
      </c>
      <c r="J13" s="60">
        <f>Rentroll!F7</f>
        <v>0</v>
      </c>
      <c r="K13" s="60" t="str">
        <f>Rentroll!E7</f>
        <v>pozemek</v>
      </c>
      <c r="L13" s="61">
        <f>Rentroll!I7</f>
        <v>0</v>
      </c>
      <c r="M13" s="61">
        <f>Rentroll!L7</f>
        <v>0</v>
      </c>
      <c r="N13" s="62">
        <f>Rentroll!J7+Rentroll!M7</f>
        <v>0</v>
      </c>
      <c r="O13" s="72"/>
      <c r="P13" s="30"/>
      <c r="Q13" s="73" t="s">
        <v>64</v>
      </c>
      <c r="R13" s="74">
        <v>3</v>
      </c>
    </row>
    <row r="14" spans="1:18" ht="18" customHeight="1">
      <c r="B14" s="75" t="s">
        <v>65</v>
      </c>
      <c r="C14" s="520">
        <f>SUM(F8:F13)</f>
        <v>2595444.9262999999</v>
      </c>
      <c r="D14" s="560"/>
      <c r="E14" s="560"/>
      <c r="F14" s="561"/>
      <c r="G14" s="76"/>
      <c r="H14" s="30"/>
      <c r="I14" s="59" t="str">
        <f>Rentroll!D8</f>
        <v>Alza</v>
      </c>
      <c r="J14" s="60">
        <f>Rentroll!F8</f>
        <v>1</v>
      </c>
      <c r="K14" s="60" t="str">
        <f>Rentroll!E8</f>
        <v>pozemek</v>
      </c>
      <c r="L14" s="61">
        <f>Rentroll!I8</f>
        <v>3365.75</v>
      </c>
      <c r="M14" s="61">
        <f>Rentroll!L8</f>
        <v>0</v>
      </c>
      <c r="N14" s="62">
        <f>Rentroll!J8+Rentroll!M8</f>
        <v>3365.75</v>
      </c>
      <c r="O14" s="76"/>
      <c r="P14" s="30"/>
      <c r="Q14" s="77" t="s">
        <v>66</v>
      </c>
      <c r="R14" s="78">
        <f>SUM(R7:R13)</f>
        <v>25</v>
      </c>
    </row>
    <row r="15" spans="1:18" ht="18" customHeight="1">
      <c r="A15" s="31"/>
      <c r="B15" s="79" t="s">
        <v>67</v>
      </c>
      <c r="C15" s="3"/>
      <c r="D15" s="3"/>
      <c r="E15" s="3"/>
      <c r="F15" s="80">
        <f>C14/$J$17</f>
        <v>1217.9469386672922</v>
      </c>
      <c r="G15" s="76"/>
      <c r="H15" s="30"/>
      <c r="I15" s="59">
        <f>Rentroll!D9</f>
        <v>0</v>
      </c>
      <c r="J15" s="60">
        <f>Rentroll!F9</f>
        <v>0</v>
      </c>
      <c r="K15" s="60">
        <f>Rentroll!E9</f>
        <v>0</v>
      </c>
      <c r="L15" s="61">
        <f>Rentroll!I9</f>
        <v>0</v>
      </c>
      <c r="M15" s="61">
        <f>Rentroll!L9</f>
        <v>0</v>
      </c>
      <c r="N15" s="62">
        <f>Rentroll!J9+Rentroll!M9</f>
        <v>0</v>
      </c>
      <c r="O15" s="76"/>
      <c r="P15" s="30"/>
      <c r="Q15" s="30"/>
      <c r="R15" s="30"/>
    </row>
    <row r="16" spans="1:18" ht="18" customHeight="1">
      <c r="B16" s="3"/>
      <c r="C16" s="3"/>
      <c r="D16" s="40"/>
      <c r="E16" s="43"/>
      <c r="F16" s="42"/>
      <c r="G16" s="76"/>
      <c r="H16" s="30"/>
      <c r="I16" s="59">
        <f>Rentroll!D10</f>
        <v>0</v>
      </c>
      <c r="J16" s="60">
        <f>Rentroll!F10</f>
        <v>0</v>
      </c>
      <c r="K16" s="60">
        <f>Rentroll!E10</f>
        <v>0</v>
      </c>
      <c r="L16" s="61">
        <f>Rentroll!I10</f>
        <v>0</v>
      </c>
      <c r="M16" s="61">
        <f>Rentroll!L10</f>
        <v>0</v>
      </c>
      <c r="N16" s="62">
        <f>Rentroll!J10+Rentroll!M10</f>
        <v>0</v>
      </c>
      <c r="O16" s="76"/>
      <c r="P16" s="30"/>
      <c r="Q16" s="30"/>
      <c r="R16" s="30"/>
    </row>
    <row r="17" spans="1:18" ht="18" customHeight="1">
      <c r="A17" s="31" t="s">
        <v>68</v>
      </c>
      <c r="B17" s="521" t="str">
        <f>'Cash-flow BASE'!C24</f>
        <v>B. Architecture &amp; Engineering</v>
      </c>
      <c r="C17" s="560"/>
      <c r="D17" s="560"/>
      <c r="E17" s="560"/>
      <c r="F17" s="561"/>
      <c r="G17" s="76"/>
      <c r="H17" s="30"/>
      <c r="I17" s="81" t="s">
        <v>69</v>
      </c>
      <c r="J17" s="82">
        <f>SUM(J8:J16)</f>
        <v>2131</v>
      </c>
      <c r="K17" s="83" t="s">
        <v>70</v>
      </c>
      <c r="L17" s="84">
        <f t="shared" ref="L17:M17" si="0">SUM(L8:L16)</f>
        <v>5653.25</v>
      </c>
      <c r="M17" s="85">
        <f t="shared" si="0"/>
        <v>191.66666666666669</v>
      </c>
      <c r="N17" s="86">
        <f>SUM(N8:N16)</f>
        <v>709678.25</v>
      </c>
      <c r="O17" s="76"/>
      <c r="P17" s="30"/>
      <c r="Q17" s="522" t="s">
        <v>71</v>
      </c>
      <c r="R17" s="561"/>
    </row>
    <row r="18" spans="1:18" ht="18" customHeight="1">
      <c r="A18" s="31"/>
      <c r="B18" s="87"/>
      <c r="C18" s="88" t="s">
        <v>47</v>
      </c>
      <c r="D18" s="48" t="s">
        <v>72</v>
      </c>
      <c r="E18" s="88" t="s">
        <v>73</v>
      </c>
      <c r="F18" s="89"/>
      <c r="G18" s="76"/>
      <c r="H18" s="30"/>
      <c r="I18" s="90" t="s">
        <v>74</v>
      </c>
      <c r="J18" s="523">
        <f>SUM(N8:N16)*12</f>
        <v>8516139</v>
      </c>
      <c r="K18" s="560"/>
      <c r="L18" s="560"/>
      <c r="M18" s="560"/>
      <c r="N18" s="561"/>
      <c r="O18" s="76"/>
      <c r="P18" s="30"/>
      <c r="Q18" s="91" t="s">
        <v>75</v>
      </c>
      <c r="R18" s="92">
        <v>0.09</v>
      </c>
    </row>
    <row r="19" spans="1:18" ht="18" customHeight="1">
      <c r="B19" s="93" t="str">
        <f>'Cash-flow BASE'!C25</f>
        <v>Projekt , architekt</v>
      </c>
      <c r="C19" s="94">
        <v>1</v>
      </c>
      <c r="D19" s="95" t="s">
        <v>62</v>
      </c>
      <c r="E19" s="96">
        <f>SUM(E20:E21)</f>
        <v>0.04</v>
      </c>
      <c r="F19" s="97">
        <f>SUM(F20:F21)</f>
        <v>2470000</v>
      </c>
      <c r="G19" s="98"/>
      <c r="H19" s="30"/>
      <c r="I19" s="99" t="s">
        <v>76</v>
      </c>
      <c r="J19" s="100"/>
      <c r="K19" s="100" t="s">
        <v>77</v>
      </c>
      <c r="L19" s="101"/>
      <c r="M19" s="102"/>
      <c r="N19" s="103">
        <f>(J18-N21)/C93</f>
        <v>9.2682998976349809E-2</v>
      </c>
      <c r="O19" s="98"/>
      <c r="P19" s="30"/>
      <c r="Q19" s="104" t="s">
        <v>78</v>
      </c>
      <c r="R19" s="105">
        <f>J18</f>
        <v>8516139</v>
      </c>
    </row>
    <row r="20" spans="1:18" ht="18" customHeight="1">
      <c r="A20" s="31"/>
      <c r="B20" s="471" t="s">
        <v>79</v>
      </c>
      <c r="C20" s="94">
        <v>1</v>
      </c>
      <c r="D20" s="95" t="s">
        <v>62</v>
      </c>
      <c r="E20" s="472">
        <v>0.04</v>
      </c>
      <c r="F20" s="473">
        <v>1970000</v>
      </c>
      <c r="G20" s="58"/>
      <c r="H20" s="30"/>
      <c r="I20" s="106" t="s">
        <v>80</v>
      </c>
      <c r="J20" s="100"/>
      <c r="K20" s="107"/>
      <c r="L20" s="107"/>
      <c r="M20" s="108">
        <v>0.06</v>
      </c>
      <c r="N20" s="109">
        <f>N19/M20</f>
        <v>1.5447166496058302</v>
      </c>
      <c r="O20" s="58"/>
      <c r="P20" s="30"/>
      <c r="Q20" s="104" t="s">
        <v>81</v>
      </c>
      <c r="R20" s="105">
        <f>C23+C40+C48+C69</f>
        <v>79785500.780000001</v>
      </c>
    </row>
    <row r="21" spans="1:18" ht="18" customHeight="1">
      <c r="A21" s="31"/>
      <c r="B21" s="471" t="s">
        <v>82</v>
      </c>
      <c r="C21" s="94">
        <v>1</v>
      </c>
      <c r="D21" s="95" t="s">
        <v>62</v>
      </c>
      <c r="E21" s="474">
        <v>0</v>
      </c>
      <c r="F21" s="475">
        <v>500000</v>
      </c>
      <c r="G21" s="98"/>
      <c r="H21" s="30"/>
      <c r="I21" s="91" t="s">
        <v>83</v>
      </c>
      <c r="J21" s="107"/>
      <c r="K21" s="107"/>
      <c r="L21" s="107"/>
      <c r="M21" s="110">
        <f>N21/J17/12</f>
        <v>23.433833880807132</v>
      </c>
      <c r="N21" s="111">
        <f>Rentroll!M13</f>
        <v>599250</v>
      </c>
      <c r="O21" s="98"/>
      <c r="P21" s="30"/>
      <c r="Q21" s="104" t="s">
        <v>84</v>
      </c>
      <c r="R21" s="112">
        <f>R19/R18</f>
        <v>94623766.666666672</v>
      </c>
    </row>
    <row r="22" spans="1:18" ht="18" customHeight="1">
      <c r="B22" s="113" t="str">
        <f>'Cash-flow BASE'!C26</f>
        <v>Engineering</v>
      </c>
      <c r="C22" s="433">
        <v>1</v>
      </c>
      <c r="D22" s="476" t="s">
        <v>62</v>
      </c>
      <c r="E22" s="477">
        <v>0</v>
      </c>
      <c r="F22" s="428">
        <f>C40*E22</f>
        <v>0</v>
      </c>
      <c r="G22" s="114"/>
      <c r="H22" s="30"/>
      <c r="I22" s="115" t="s">
        <v>85</v>
      </c>
      <c r="J22" s="107"/>
      <c r="K22" s="107"/>
      <c r="L22" s="116"/>
      <c r="M22" s="117"/>
      <c r="N22" s="118">
        <f>(Rentroll!O13-N21)/C93</f>
        <v>9.2682998976349809E-2</v>
      </c>
      <c r="O22" s="114"/>
      <c r="P22" s="30"/>
      <c r="Q22" s="119" t="s">
        <v>86</v>
      </c>
      <c r="R22" s="120">
        <f>R21-R20</f>
        <v>14838265.88666667</v>
      </c>
    </row>
    <row r="23" spans="1:18" ht="18" customHeight="1">
      <c r="B23" s="75" t="s">
        <v>65</v>
      </c>
      <c r="C23" s="520">
        <f>F19+F22</f>
        <v>2470000</v>
      </c>
      <c r="D23" s="560"/>
      <c r="E23" s="560"/>
      <c r="F23" s="561"/>
      <c r="G23" s="114"/>
      <c r="H23" s="30"/>
      <c r="I23" s="121" t="s">
        <v>87</v>
      </c>
      <c r="J23" s="122"/>
      <c r="K23" s="122"/>
      <c r="L23" s="123"/>
      <c r="M23" s="124"/>
      <c r="N23" s="125">
        <v>7.0000000000000007E-2</v>
      </c>
      <c r="O23" s="114"/>
      <c r="P23" s="30"/>
      <c r="Q23" s="478" t="s">
        <v>88</v>
      </c>
      <c r="R23" s="126">
        <f>R21-R20-C81</f>
        <v>11800212.559280075</v>
      </c>
    </row>
    <row r="24" spans="1:18" ht="18" customHeight="1">
      <c r="A24" s="31"/>
      <c r="B24" s="79" t="s">
        <v>67</v>
      </c>
      <c r="C24" s="3"/>
      <c r="D24" s="3"/>
      <c r="E24" s="3"/>
      <c r="F24" s="80">
        <f>C23/$J$17</f>
        <v>1159.0802440168934</v>
      </c>
      <c r="G24" s="114"/>
      <c r="H24" s="30"/>
      <c r="I24" s="127" t="s">
        <v>89</v>
      </c>
      <c r="J24" s="128"/>
      <c r="K24" s="128"/>
      <c r="L24" s="129"/>
      <c r="M24" s="130">
        <v>0.01</v>
      </c>
      <c r="N24" s="479">
        <f>-J29*M24</f>
        <v>-1130984.1428571427</v>
      </c>
      <c r="O24" s="114"/>
      <c r="P24" s="30"/>
      <c r="Q24" s="30"/>
      <c r="R24" s="30"/>
    </row>
    <row r="25" spans="1:18" ht="18" customHeight="1">
      <c r="G25" s="114"/>
      <c r="H25" s="30"/>
      <c r="I25" s="127" t="s">
        <v>90</v>
      </c>
      <c r="J25" s="128"/>
      <c r="K25" s="128"/>
      <c r="L25" s="129"/>
      <c r="M25" s="130">
        <v>0.21</v>
      </c>
      <c r="N25" s="479">
        <f>IF(IF(J28&gt;0,-(J28-F8*J27-C21)*M25,0)&gt;0,0,-(J28-F8*J27-C21)*M25)</f>
        <v>0.21</v>
      </c>
      <c r="O25" s="114"/>
      <c r="P25" s="30"/>
      <c r="Q25" s="30"/>
      <c r="R25" s="30"/>
    </row>
    <row r="26" spans="1:18" ht="18" customHeight="1">
      <c r="G26" s="114"/>
      <c r="H26" s="30"/>
      <c r="I26" s="127" t="s">
        <v>91</v>
      </c>
      <c r="J26" s="39"/>
      <c r="K26" s="39"/>
      <c r="L26" s="40"/>
      <c r="M26" s="131">
        <v>0.5</v>
      </c>
      <c r="N26" s="132"/>
      <c r="O26" s="114"/>
      <c r="P26" s="30"/>
      <c r="Q26" s="30"/>
      <c r="R26" s="30"/>
    </row>
    <row r="27" spans="1:18" ht="18" customHeight="1">
      <c r="A27" s="31" t="s">
        <v>92</v>
      </c>
      <c r="B27" s="521" t="str">
        <f>'Cash-flow BASE'!C27</f>
        <v>C. Constructions costs</v>
      </c>
      <c r="C27" s="560"/>
      <c r="D27" s="560"/>
      <c r="E27" s="560"/>
      <c r="F27" s="561"/>
      <c r="G27" s="114"/>
      <c r="H27" s="30"/>
      <c r="I27" s="133" t="s">
        <v>93</v>
      </c>
      <c r="J27" s="524">
        <f>0</f>
        <v>0</v>
      </c>
      <c r="K27" s="560"/>
      <c r="L27" s="560"/>
      <c r="M27" s="560"/>
      <c r="N27" s="561"/>
      <c r="O27" s="114"/>
      <c r="P27" s="30"/>
      <c r="Q27" s="519" t="s">
        <v>94</v>
      </c>
      <c r="R27" s="561"/>
    </row>
    <row r="28" spans="1:18" ht="18.95">
      <c r="B28" s="87"/>
      <c r="C28" s="88" t="s">
        <v>47</v>
      </c>
      <c r="D28" s="48" t="s">
        <v>72</v>
      </c>
      <c r="E28" s="88" t="s">
        <v>73</v>
      </c>
      <c r="F28" s="89"/>
      <c r="G28" s="114"/>
      <c r="H28" s="30"/>
      <c r="I28" s="139" t="s">
        <v>95</v>
      </c>
      <c r="J28" s="525">
        <f>IF( J27&gt;0,1000000,0)</f>
        <v>0</v>
      </c>
      <c r="K28" s="562"/>
      <c r="L28" s="562"/>
      <c r="M28" s="562"/>
      <c r="N28" s="563"/>
      <c r="O28" s="114"/>
      <c r="P28" s="30"/>
      <c r="Q28" s="134" t="s">
        <v>96</v>
      </c>
      <c r="R28" s="135">
        <v>0.2</v>
      </c>
    </row>
    <row r="29" spans="1:18" ht="18" customHeight="1">
      <c r="A29" s="31"/>
      <c r="B29" s="93" t="str">
        <f>'Cash-flow BASE'!C28</f>
        <v>Náklady na realizace stavby (Shell and core)</v>
      </c>
      <c r="C29" s="94">
        <v>1</v>
      </c>
      <c r="D29" s="95" t="s">
        <v>48</v>
      </c>
      <c r="E29" s="56">
        <f>F29/J17</f>
        <v>18181.464101360863</v>
      </c>
      <c r="F29" s="57">
        <f>SUM(F30:F33)</f>
        <v>38744700</v>
      </c>
      <c r="G29" s="114"/>
      <c r="H29" s="30"/>
      <c r="I29" s="139" t="s">
        <v>97</v>
      </c>
      <c r="J29" s="525">
        <f>(J18-N21)/N23</f>
        <v>113098414.28571427</v>
      </c>
      <c r="K29" s="562"/>
      <c r="L29" s="562"/>
      <c r="M29" s="562"/>
      <c r="N29" s="563"/>
      <c r="O29" s="114"/>
      <c r="P29" s="30"/>
      <c r="Q29" s="134" t="s">
        <v>98</v>
      </c>
      <c r="R29" s="136">
        <f>J18/N23*R28</f>
        <v>24331825.714285716</v>
      </c>
    </row>
    <row r="30" spans="1:18" ht="27" customHeight="1">
      <c r="A30" s="31"/>
      <c r="B30" s="137" t="s">
        <v>99</v>
      </c>
      <c r="C30" s="94">
        <v>1</v>
      </c>
      <c r="D30" s="95" t="s">
        <v>48</v>
      </c>
      <c r="E30" s="56">
        <v>17000</v>
      </c>
      <c r="F30" s="138">
        <f>(J17-J14)*1.07*E30</f>
        <v>38744700</v>
      </c>
      <c r="G30" s="114"/>
      <c r="H30" s="30"/>
      <c r="I30" s="139" t="s">
        <v>100</v>
      </c>
      <c r="J30" s="523">
        <f>J29+J28</f>
        <v>113098414.28571427</v>
      </c>
      <c r="K30" s="560"/>
      <c r="L30" s="560"/>
      <c r="M30" s="560"/>
      <c r="N30" s="561"/>
      <c r="O30" s="114"/>
      <c r="P30" s="30"/>
      <c r="Q30" s="91" t="s">
        <v>81</v>
      </c>
      <c r="R30" s="111">
        <f>C23+C40+C48+C69</f>
        <v>79785500.780000001</v>
      </c>
    </row>
    <row r="31" spans="1:18" ht="27" customHeight="1">
      <c r="A31" s="31"/>
      <c r="B31" s="137" t="s">
        <v>101</v>
      </c>
      <c r="C31" s="94">
        <v>1</v>
      </c>
      <c r="D31" s="95" t="s">
        <v>48</v>
      </c>
      <c r="E31" s="56">
        <v>1000</v>
      </c>
      <c r="F31" s="138"/>
      <c r="G31" s="114"/>
      <c r="H31" s="30"/>
      <c r="I31" s="30"/>
      <c r="J31" s="39"/>
      <c r="K31" s="39"/>
      <c r="L31" s="40"/>
      <c r="M31" s="43">
        <f>J18-N21</f>
        <v>7916889</v>
      </c>
      <c r="N31" s="42"/>
      <c r="O31" s="114"/>
      <c r="P31" s="30"/>
      <c r="Q31" s="140" t="s">
        <v>102</v>
      </c>
      <c r="R31" s="112">
        <f>J30+N24+N26+N25</f>
        <v>111967430.35285711</v>
      </c>
    </row>
    <row r="32" spans="1:18" ht="18.95">
      <c r="A32" s="31"/>
      <c r="B32" s="137" t="s">
        <v>103</v>
      </c>
      <c r="C32" s="94">
        <v>1</v>
      </c>
      <c r="D32" s="95" t="s">
        <v>48</v>
      </c>
      <c r="E32" s="56">
        <v>600</v>
      </c>
      <c r="F32" s="138"/>
      <c r="G32" s="114"/>
      <c r="H32" s="30"/>
      <c r="I32" s="30"/>
      <c r="J32" s="141"/>
      <c r="K32" s="39"/>
      <c r="L32" s="40"/>
      <c r="M32" s="43"/>
      <c r="N32" s="42"/>
      <c r="O32" s="114"/>
      <c r="P32" s="30"/>
      <c r="Q32" s="142" t="s">
        <v>86</v>
      </c>
      <c r="R32" s="120">
        <f>R31-R30-R29</f>
        <v>7850103.8585713953</v>
      </c>
    </row>
    <row r="33" spans="1:18" ht="18" customHeight="1">
      <c r="A33" s="31"/>
      <c r="B33" s="137"/>
      <c r="C33" s="94">
        <v>1</v>
      </c>
      <c r="D33" s="95" t="s">
        <v>56</v>
      </c>
      <c r="E33" s="56">
        <v>32800</v>
      </c>
      <c r="F33" s="138"/>
      <c r="G33" s="114"/>
      <c r="H33" s="30"/>
      <c r="I33" s="30"/>
      <c r="J33" s="39"/>
      <c r="K33" s="39"/>
      <c r="L33" s="40"/>
      <c r="M33" s="43"/>
      <c r="N33" s="42"/>
      <c r="O33" s="114"/>
      <c r="P33" s="30"/>
      <c r="Q33" s="143" t="s">
        <v>88</v>
      </c>
      <c r="R33" s="126">
        <f>R32-C81</f>
        <v>4812050.5311848009</v>
      </c>
    </row>
    <row r="34" spans="1:18" ht="18" customHeight="1">
      <c r="A34" s="31"/>
      <c r="B34" s="93" t="str">
        <f>'Cash-flow BASE'!C29</f>
        <v>Bourací práce</v>
      </c>
      <c r="C34" s="94">
        <v>1</v>
      </c>
      <c r="D34" s="95" t="s">
        <v>56</v>
      </c>
      <c r="E34" s="56">
        <v>0</v>
      </c>
      <c r="F34" s="57"/>
      <c r="G34" s="114"/>
      <c r="H34" s="30"/>
      <c r="I34" s="144"/>
      <c r="J34" s="145"/>
      <c r="K34" s="145"/>
      <c r="L34" s="145"/>
      <c r="M34" s="145"/>
      <c r="N34" s="146"/>
      <c r="O34" s="114"/>
      <c r="P34" s="30"/>
    </row>
    <row r="35" spans="1:18" ht="18" customHeight="1">
      <c r="B35" s="93" t="str">
        <f>'Cash-flow BASE'!C30</f>
        <v>Rekonstrukční náklady</v>
      </c>
      <c r="C35" s="94">
        <v>1</v>
      </c>
      <c r="D35" s="147" t="s">
        <v>56</v>
      </c>
      <c r="E35" s="56">
        <v>0</v>
      </c>
      <c r="F35" s="57"/>
      <c r="G35" s="114"/>
      <c r="H35" s="30"/>
      <c r="I35" s="526" t="s">
        <v>104</v>
      </c>
      <c r="J35" s="480"/>
      <c r="K35" s="480"/>
      <c r="L35" s="480"/>
      <c r="M35" s="527">
        <f>J30-C93+N26+N24+N25</f>
        <v>26548431.319170535</v>
      </c>
      <c r="N35" s="564"/>
      <c r="O35" s="114"/>
      <c r="P35" s="30"/>
      <c r="Q35" s="519" t="s">
        <v>105</v>
      </c>
      <c r="R35" s="561"/>
    </row>
    <row r="36" spans="1:18" ht="18" customHeight="1">
      <c r="B36" s="93" t="str">
        <f>'Cash-flow BASE'!C31</f>
        <v>Náklady na inženýrské sítě</v>
      </c>
      <c r="C36" s="94">
        <v>1</v>
      </c>
      <c r="D36" s="95" t="s">
        <v>48</v>
      </c>
      <c r="E36" s="56">
        <v>2800</v>
      </c>
      <c r="F36" s="57">
        <f>J17*1.07*2.3*E36</f>
        <v>14684294.799999999</v>
      </c>
      <c r="G36" s="42"/>
      <c r="H36" s="148"/>
      <c r="I36" s="565"/>
      <c r="J36" s="480"/>
      <c r="K36" s="480"/>
      <c r="L36" s="480"/>
      <c r="M36" s="566"/>
      <c r="N36" s="564"/>
      <c r="O36" s="42"/>
      <c r="P36" s="148"/>
      <c r="Q36" s="149" t="str">
        <f>B8</f>
        <v>Nákup nemovitosti/pozemků</v>
      </c>
      <c r="R36" s="150">
        <f>C14</f>
        <v>2595444.9262999999</v>
      </c>
    </row>
    <row r="37" spans="1:18" ht="23.25" customHeight="1">
      <c r="A37" s="31"/>
      <c r="B37" s="93" t="str">
        <f>'Cash-flow BASE'!C32</f>
        <v>Operativní náklady spojené s realizaci stavby</v>
      </c>
      <c r="C37" s="94">
        <v>1</v>
      </c>
      <c r="D37" s="151" t="s">
        <v>62</v>
      </c>
      <c r="E37" s="152"/>
      <c r="F37" s="57">
        <v>1500000</v>
      </c>
      <c r="G37" s="42"/>
      <c r="H37" s="148"/>
      <c r="I37" s="153" t="s">
        <v>106</v>
      </c>
      <c r="J37" s="154"/>
      <c r="K37" s="155" t="s">
        <v>107</v>
      </c>
      <c r="L37" s="154"/>
      <c r="M37" s="154"/>
      <c r="N37" s="481">
        <f>M35/J29</f>
        <v>0.23473743188036839</v>
      </c>
      <c r="O37" s="42"/>
      <c r="P37" s="148"/>
      <c r="Q37" s="134" t="s">
        <v>108</v>
      </c>
      <c r="R37" s="156">
        <v>0.25</v>
      </c>
    </row>
    <row r="38" spans="1:18" ht="24.75" customHeight="1">
      <c r="A38" s="31"/>
      <c r="B38" s="93" t="s">
        <v>109</v>
      </c>
      <c r="C38" s="94">
        <v>1</v>
      </c>
      <c r="D38" s="151" t="s">
        <v>62</v>
      </c>
      <c r="E38" s="56">
        <v>0</v>
      </c>
      <c r="F38" s="428">
        <f>-50000</f>
        <v>-50000</v>
      </c>
      <c r="G38" s="42"/>
      <c r="H38" s="148"/>
      <c r="I38" s="153" t="s">
        <v>110</v>
      </c>
      <c r="J38" s="154"/>
      <c r="K38" s="155" t="s">
        <v>111</v>
      </c>
      <c r="L38" s="154"/>
      <c r="M38" s="154"/>
      <c r="N38" s="481">
        <f>M35/C93</f>
        <v>0.31080241655255947</v>
      </c>
      <c r="O38" s="42"/>
      <c r="P38" s="148"/>
      <c r="Q38" s="91" t="s">
        <v>112</v>
      </c>
      <c r="R38" s="157">
        <f>M35*R37</f>
        <v>6637107.8297926337</v>
      </c>
    </row>
    <row r="39" spans="1:18" ht="18" customHeight="1">
      <c r="A39" s="31"/>
      <c r="B39" s="93" t="str">
        <f>'Cash-flow BASE'!C34</f>
        <v>Rezerva</v>
      </c>
      <c r="C39" s="433">
        <v>1</v>
      </c>
      <c r="D39" s="482" t="s">
        <v>62</v>
      </c>
      <c r="E39" s="477">
        <v>0.1</v>
      </c>
      <c r="F39" s="428">
        <f>SUM(F29,F34:F37,F46)*E39</f>
        <v>6443649.4800000004</v>
      </c>
      <c r="G39" s="42"/>
      <c r="H39" s="148"/>
      <c r="I39" s="158" t="s">
        <v>113</v>
      </c>
      <c r="J39" s="159"/>
      <c r="K39" s="159"/>
      <c r="L39" s="159"/>
      <c r="M39" s="159"/>
      <c r="N39" s="483">
        <f>M35/D89</f>
        <v>0.91146937080018764</v>
      </c>
      <c r="O39" s="42"/>
      <c r="P39" s="148"/>
      <c r="Q39" s="160" t="str">
        <f>B17</f>
        <v>B. Architecture &amp; Engineering</v>
      </c>
      <c r="R39" s="120">
        <f>C23</f>
        <v>2470000</v>
      </c>
    </row>
    <row r="40" spans="1:18" ht="18" customHeight="1">
      <c r="B40" s="75" t="s">
        <v>65</v>
      </c>
      <c r="C40" s="520">
        <f>SUM(F30:F39)</f>
        <v>61322644.280000001</v>
      </c>
      <c r="D40" s="560"/>
      <c r="E40" s="560"/>
      <c r="F40" s="561"/>
      <c r="G40" s="42"/>
      <c r="H40" s="148"/>
      <c r="I40" s="30"/>
      <c r="J40" s="39"/>
      <c r="K40" s="39"/>
      <c r="L40" s="40"/>
      <c r="M40" s="43"/>
      <c r="N40" s="42"/>
      <c r="O40" s="42"/>
      <c r="P40" s="148"/>
      <c r="Q40" s="143" t="s">
        <v>105</v>
      </c>
      <c r="R40" s="126">
        <f>R36+R38+R39</f>
        <v>11702552.756092634</v>
      </c>
    </row>
    <row r="41" spans="1:18" ht="18" customHeight="1">
      <c r="A41" s="31"/>
      <c r="B41" s="79" t="s">
        <v>67</v>
      </c>
      <c r="C41" s="3"/>
      <c r="D41" s="3"/>
      <c r="E41" s="3"/>
      <c r="F41" s="80">
        <f>C40/$J$17</f>
        <v>28776.46376349132</v>
      </c>
      <c r="G41" s="42"/>
      <c r="H41" s="148"/>
      <c r="I41" s="30"/>
      <c r="J41" s="39"/>
      <c r="K41" s="39"/>
      <c r="L41" s="40"/>
      <c r="M41" s="43"/>
      <c r="N41" s="42"/>
      <c r="O41" s="42"/>
      <c r="P41" s="148"/>
      <c r="Q41" s="30"/>
      <c r="R41" s="30"/>
    </row>
    <row r="42" spans="1:18" ht="18" customHeight="1">
      <c r="A42" s="31"/>
      <c r="G42" s="42"/>
      <c r="H42" s="148"/>
      <c r="I42" s="161"/>
      <c r="J42" s="30"/>
      <c r="K42" s="30"/>
      <c r="L42" s="30"/>
      <c r="M42" s="30"/>
      <c r="N42" s="162"/>
      <c r="O42" s="42"/>
      <c r="P42" s="148"/>
      <c r="Q42" s="30"/>
      <c r="R42" s="30"/>
    </row>
    <row r="43" spans="1:18" ht="18" customHeight="1">
      <c r="G43" s="42"/>
      <c r="H43" s="148"/>
      <c r="I43" s="161"/>
      <c r="J43" s="163"/>
      <c r="K43" s="163"/>
      <c r="L43" s="163"/>
      <c r="M43" s="163"/>
      <c r="N43" s="161"/>
      <c r="O43" s="42"/>
      <c r="P43" s="148"/>
      <c r="Q43" s="30"/>
      <c r="R43" s="30"/>
    </row>
    <row r="44" spans="1:18" ht="18" customHeight="1">
      <c r="A44" s="31" t="s">
        <v>114</v>
      </c>
      <c r="B44" s="521" t="str">
        <f>'Cash-flow BASE'!C35</f>
        <v>D. Tenant improvements</v>
      </c>
      <c r="C44" s="560"/>
      <c r="D44" s="560"/>
      <c r="E44" s="560"/>
      <c r="F44" s="561"/>
      <c r="G44" s="42"/>
      <c r="H44" s="148"/>
      <c r="I44" s="161"/>
      <c r="J44" s="30"/>
      <c r="K44" s="163"/>
      <c r="L44" s="163"/>
      <c r="M44" s="163"/>
      <c r="N44" s="163"/>
      <c r="O44" s="42"/>
      <c r="P44" s="148"/>
      <c r="Q44" s="30"/>
      <c r="R44" s="30"/>
    </row>
    <row r="45" spans="1:18" ht="18" customHeight="1">
      <c r="A45" s="31"/>
      <c r="B45" s="87"/>
      <c r="C45" s="88" t="s">
        <v>47</v>
      </c>
      <c r="D45" s="48" t="s">
        <v>72</v>
      </c>
      <c r="E45" s="88" t="s">
        <v>73</v>
      </c>
      <c r="F45" s="89"/>
      <c r="G45" s="42"/>
      <c r="H45" s="148"/>
      <c r="I45" s="161"/>
      <c r="J45" s="163"/>
      <c r="K45" s="163"/>
      <c r="L45" s="163"/>
      <c r="M45" s="163"/>
      <c r="N45" s="161"/>
      <c r="O45" s="42"/>
      <c r="P45" s="148"/>
      <c r="Q45" s="30"/>
      <c r="R45" s="30"/>
    </row>
    <row r="46" spans="1:18" ht="18" customHeight="1">
      <c r="A46" s="31"/>
      <c r="B46" s="93" t="str">
        <f>'Cash-flow BASE'!C36</f>
        <v>Tenant improvement</v>
      </c>
      <c r="C46" s="94">
        <v>1</v>
      </c>
      <c r="D46" s="95" t="s">
        <v>48</v>
      </c>
      <c r="E46" s="56"/>
      <c r="F46" s="57">
        <f>SUM(J9:J11)*9000+J12*16500+J8*1000</f>
        <v>9507500</v>
      </c>
      <c r="G46" s="42"/>
      <c r="H46" s="148"/>
      <c r="I46" s="164"/>
      <c r="J46" s="163"/>
      <c r="K46" s="163"/>
      <c r="L46" s="163"/>
      <c r="M46" s="163"/>
      <c r="N46" s="163"/>
      <c r="O46" s="42"/>
      <c r="P46" s="148"/>
      <c r="Q46" s="30"/>
      <c r="R46" s="30"/>
    </row>
    <row r="47" spans="1:18" ht="18" customHeight="1">
      <c r="A47" s="31"/>
      <c r="B47" s="93" t="s">
        <v>115</v>
      </c>
      <c r="C47" s="433">
        <v>1</v>
      </c>
      <c r="D47" s="476" t="s">
        <v>56</v>
      </c>
      <c r="E47" s="434">
        <v>0</v>
      </c>
      <c r="F47" s="428"/>
      <c r="G47" s="42"/>
      <c r="H47" s="148"/>
      <c r="I47" s="161"/>
      <c r="J47" s="163"/>
      <c r="K47" s="163"/>
      <c r="L47" s="163"/>
      <c r="M47" s="163"/>
      <c r="N47" s="163"/>
      <c r="O47" s="42"/>
      <c r="P47" s="148"/>
      <c r="Q47" s="518" t="s">
        <v>116</v>
      </c>
      <c r="R47" s="561"/>
    </row>
    <row r="48" spans="1:18" ht="18" customHeight="1">
      <c r="B48" s="75" t="s">
        <v>65</v>
      </c>
      <c r="C48" s="520">
        <f>SUM(F46:F47)</f>
        <v>9507500</v>
      </c>
      <c r="D48" s="560"/>
      <c r="E48" s="560"/>
      <c r="F48" s="561"/>
      <c r="G48" s="42"/>
      <c r="H48" s="148"/>
      <c r="I48" s="163"/>
      <c r="J48" s="163"/>
      <c r="K48" s="163"/>
      <c r="L48" s="163"/>
      <c r="M48" s="163"/>
      <c r="N48" s="163"/>
      <c r="O48" s="42"/>
      <c r="P48" s="148"/>
      <c r="Q48" s="165" t="s">
        <v>117</v>
      </c>
      <c r="R48" s="166" t="s">
        <v>118</v>
      </c>
    </row>
    <row r="49" spans="1:18" ht="18" customHeight="1">
      <c r="A49" s="31"/>
      <c r="B49" s="79" t="s">
        <v>67</v>
      </c>
      <c r="C49" s="167"/>
      <c r="D49" s="167"/>
      <c r="E49" s="167"/>
      <c r="F49" s="80">
        <f>C48/$J$17</f>
        <v>4461.520412951666</v>
      </c>
      <c r="G49" s="42"/>
      <c r="H49" s="148"/>
      <c r="I49" s="163"/>
      <c r="J49" s="163"/>
      <c r="K49" s="163"/>
      <c r="L49" s="163"/>
      <c r="M49" s="163"/>
      <c r="N49" s="163"/>
      <c r="O49" s="42"/>
      <c r="P49" s="148"/>
      <c r="Q49" s="168">
        <f t="shared" ref="Q49:Q52" si="1">IF(($J$18/R49-$C$93+$J$28+$N$26+$N$25+$N$24)&gt;0,($J$18/R49-$C$93+$J$28+$N$26+$N$25+$N$24),0)</f>
        <v>35109145.604884833</v>
      </c>
      <c r="R49" s="169">
        <f>N23</f>
        <v>7.0000000000000007E-2</v>
      </c>
    </row>
    <row r="50" spans="1:18" ht="18" customHeight="1">
      <c r="A50" s="31"/>
      <c r="B50" s="30"/>
      <c r="C50" s="39"/>
      <c r="D50" s="40"/>
      <c r="E50" s="43"/>
      <c r="F50" s="42"/>
      <c r="G50" s="42"/>
      <c r="H50" s="148"/>
      <c r="I50" s="163"/>
      <c r="J50" s="163"/>
      <c r="K50" s="163"/>
      <c r="L50" s="163"/>
      <c r="M50" s="163"/>
      <c r="N50" s="163"/>
      <c r="O50" s="42"/>
      <c r="P50" s="148"/>
      <c r="Q50" s="168">
        <f t="shared" si="1"/>
        <v>26998537.033456251</v>
      </c>
      <c r="R50" s="170">
        <f t="shared" ref="R50:R52" si="2">R49+0.5%</f>
        <v>7.5000000000000011E-2</v>
      </c>
    </row>
    <row r="51" spans="1:18" ht="18" customHeight="1">
      <c r="A51" s="31"/>
      <c r="B51" s="30"/>
      <c r="C51" s="39"/>
      <c r="D51" s="40"/>
      <c r="E51" s="43"/>
      <c r="F51" s="42"/>
      <c r="G51" s="42"/>
      <c r="H51" s="148"/>
      <c r="I51" s="30"/>
      <c r="J51" s="163"/>
      <c r="K51" s="163"/>
      <c r="L51" s="163"/>
      <c r="M51" s="163"/>
      <c r="N51" s="163"/>
      <c r="O51" s="42"/>
      <c r="P51" s="148"/>
      <c r="Q51" s="168">
        <f t="shared" si="1"/>
        <v>19901754.533456251</v>
      </c>
      <c r="R51" s="118">
        <f t="shared" si="2"/>
        <v>8.0000000000000016E-2</v>
      </c>
    </row>
    <row r="52" spans="1:18" ht="18" customHeight="1">
      <c r="A52" s="31" t="s">
        <v>119</v>
      </c>
      <c r="B52" s="521" t="str">
        <f>'Cash-flow BASE'!C38</f>
        <v>E. Soft costs</v>
      </c>
      <c r="C52" s="560"/>
      <c r="D52" s="560"/>
      <c r="E52" s="560"/>
      <c r="F52" s="561"/>
      <c r="G52" s="42"/>
      <c r="H52" s="148"/>
      <c r="I52" s="161"/>
      <c r="J52" s="163"/>
      <c r="K52" s="163"/>
      <c r="L52" s="163"/>
      <c r="M52" s="163"/>
      <c r="N52" s="163"/>
      <c r="O52" s="42"/>
      <c r="P52" s="148"/>
      <c r="Q52" s="168">
        <f t="shared" si="1"/>
        <v>13639887.62169154</v>
      </c>
      <c r="R52" s="484">
        <f t="shared" si="2"/>
        <v>8.500000000000002E-2</v>
      </c>
    </row>
    <row r="53" spans="1:18" ht="18" customHeight="1">
      <c r="A53" s="31"/>
      <c r="B53" s="87"/>
      <c r="C53" s="88" t="s">
        <v>47</v>
      </c>
      <c r="D53" s="48" t="s">
        <v>72</v>
      </c>
      <c r="E53" s="88" t="s">
        <v>73</v>
      </c>
      <c r="F53" s="89"/>
      <c r="G53" s="42"/>
      <c r="H53" s="148"/>
      <c r="I53" s="171"/>
      <c r="J53" s="163"/>
      <c r="K53" s="163"/>
      <c r="L53" s="163"/>
      <c r="M53" s="163"/>
      <c r="N53" s="163"/>
      <c r="O53" s="42"/>
      <c r="P53" s="148"/>
      <c r="Q53" s="172">
        <f>$J$18/R53-$C$93+$N$26+$N$24+$J$28</f>
        <v>-0.20999998692423105</v>
      </c>
      <c r="R53" s="173">
        <f>J18/($C$93-$N$26-$N$24-$N$25-$J$28)</f>
        <v>9.8395617285007994E-2</v>
      </c>
    </row>
    <row r="54" spans="1:18" ht="18" customHeight="1">
      <c r="A54" s="31"/>
      <c r="B54" s="93" t="str">
        <f>'Cash-flow BASE'!C39</f>
        <v>Project management (Interní)</v>
      </c>
      <c r="C54" s="94">
        <v>1</v>
      </c>
      <c r="D54" s="95" t="s">
        <v>62</v>
      </c>
      <c r="E54" s="152"/>
      <c r="F54" s="174">
        <v>1691000</v>
      </c>
      <c r="G54" s="42"/>
      <c r="H54" s="148"/>
      <c r="I54" s="30"/>
      <c r="J54" s="163"/>
      <c r="K54" s="163"/>
      <c r="L54" s="163"/>
      <c r="M54" s="163"/>
      <c r="N54" s="163"/>
      <c r="O54" s="42"/>
      <c r="P54" s="148"/>
      <c r="Q54" s="30"/>
      <c r="R54" s="39"/>
    </row>
    <row r="55" spans="1:18" ht="18" customHeight="1">
      <c r="B55" s="93" t="str">
        <f>'Cash-flow BASE'!C40</f>
        <v>Project management (Externí)</v>
      </c>
      <c r="C55" s="94">
        <v>1</v>
      </c>
      <c r="D55" s="95" t="s">
        <v>62</v>
      </c>
      <c r="E55" s="152">
        <f>F55/C40</f>
        <v>4.2659608546156448E-2</v>
      </c>
      <c r="F55" s="97">
        <v>2616000</v>
      </c>
      <c r="G55" s="175"/>
      <c r="H55" s="148"/>
      <c r="I55" s="161"/>
      <c r="J55" s="163"/>
      <c r="K55" s="163"/>
      <c r="L55" s="163"/>
      <c r="M55" s="163"/>
      <c r="N55" s="163"/>
      <c r="O55" s="42"/>
      <c r="P55" s="148"/>
      <c r="Q55" s="30"/>
      <c r="R55" s="30"/>
    </row>
    <row r="56" spans="1:18" ht="18" customHeight="1">
      <c r="B56" s="176" t="s">
        <v>120</v>
      </c>
      <c r="C56" s="94">
        <v>1</v>
      </c>
      <c r="D56" s="95" t="s">
        <v>62</v>
      </c>
      <c r="E56" s="152"/>
      <c r="F56" s="138"/>
      <c r="G56" s="175"/>
      <c r="H56" s="148"/>
      <c r="I56" s="161"/>
      <c r="J56" s="163"/>
      <c r="K56" s="163"/>
      <c r="L56" s="163"/>
      <c r="M56" s="163"/>
      <c r="N56" s="163"/>
      <c r="O56" s="42"/>
      <c r="P56" s="148"/>
      <c r="Q56" s="30"/>
      <c r="R56" s="39"/>
    </row>
    <row r="57" spans="1:18" ht="18" customHeight="1">
      <c r="A57" s="31"/>
      <c r="B57" s="176" t="s">
        <v>121</v>
      </c>
      <c r="C57" s="94">
        <v>1</v>
      </c>
      <c r="D57" s="95" t="s">
        <v>62</v>
      </c>
      <c r="E57" s="152"/>
      <c r="F57" s="138"/>
      <c r="G57" s="175"/>
      <c r="H57" s="148"/>
      <c r="I57" s="30"/>
      <c r="J57" s="163"/>
      <c r="K57" s="163"/>
      <c r="L57" s="163"/>
      <c r="M57" s="163"/>
      <c r="N57" s="163"/>
      <c r="O57" s="42"/>
      <c r="P57" s="148"/>
      <c r="Q57" s="518" t="s">
        <v>122</v>
      </c>
      <c r="R57" s="561"/>
    </row>
    <row r="58" spans="1:18" ht="18" customHeight="1">
      <c r="A58" s="31"/>
      <c r="B58" s="176" t="s">
        <v>123</v>
      </c>
      <c r="C58" s="94">
        <v>1</v>
      </c>
      <c r="D58" s="95" t="s">
        <v>62</v>
      </c>
      <c r="E58" s="152"/>
      <c r="F58" s="138"/>
      <c r="G58" s="175"/>
      <c r="H58" s="148"/>
      <c r="I58" s="163"/>
      <c r="J58" s="163"/>
      <c r="K58" s="163"/>
      <c r="L58" s="163"/>
      <c r="M58" s="163"/>
      <c r="N58" s="163"/>
      <c r="O58" s="42"/>
      <c r="P58" s="148"/>
      <c r="Q58" s="165" t="s">
        <v>117</v>
      </c>
      <c r="R58" s="166" t="s">
        <v>124</v>
      </c>
    </row>
    <row r="59" spans="1:18" ht="18" customHeight="1">
      <c r="A59" s="31"/>
      <c r="B59" s="93" t="str">
        <f>'Cash-flow BASE'!C41</f>
        <v>Cost manager</v>
      </c>
      <c r="C59" s="94">
        <v>1</v>
      </c>
      <c r="D59" s="95" t="s">
        <v>62</v>
      </c>
      <c r="E59" s="152">
        <f>F59/C40</f>
        <v>0</v>
      </c>
      <c r="F59" s="97"/>
      <c r="G59" s="175"/>
      <c r="H59" s="148"/>
      <c r="I59" s="177"/>
      <c r="J59" s="163"/>
      <c r="K59" s="163"/>
      <c r="L59" s="163"/>
      <c r="M59" s="163"/>
      <c r="N59" s="163"/>
      <c r="O59" s="42"/>
      <c r="P59" s="148"/>
      <c r="Q59" s="168">
        <f t="shared" ref="Q59:Q62" si="3">$J$30-$C$14-$C$23-$C$40*(1+R59)-$C$48-$C$69-$C$81+$N$24+$N$25+$N$26</f>
        <v>26548431.319170527</v>
      </c>
      <c r="R59" s="169">
        <v>0</v>
      </c>
    </row>
    <row r="60" spans="1:18" ht="18" customHeight="1">
      <c r="B60" s="176" t="str">
        <f>Params!F3</f>
        <v>cost management VŘ GP</v>
      </c>
      <c r="C60" s="94">
        <v>1</v>
      </c>
      <c r="D60" s="95" t="s">
        <v>62</v>
      </c>
      <c r="E60" s="152"/>
      <c r="F60" s="138"/>
      <c r="G60" s="175"/>
      <c r="H60" s="148"/>
      <c r="I60" s="163"/>
      <c r="J60" s="163"/>
      <c r="K60" s="163"/>
      <c r="L60" s="163"/>
      <c r="M60" s="163"/>
      <c r="N60" s="163"/>
      <c r="O60" s="42"/>
      <c r="P60" s="148"/>
      <c r="Q60" s="168">
        <f t="shared" si="3"/>
        <v>20416166.891170524</v>
      </c>
      <c r="R60" s="170">
        <v>0.1</v>
      </c>
    </row>
    <row r="61" spans="1:18" ht="18" customHeight="1">
      <c r="A61" s="31"/>
      <c r="B61" s="176" t="str">
        <f>Params!G3</f>
        <v>cost management VŘ GD</v>
      </c>
      <c r="C61" s="94">
        <v>1</v>
      </c>
      <c r="D61" s="95" t="s">
        <v>62</v>
      </c>
      <c r="E61" s="152"/>
      <c r="F61" s="138"/>
      <c r="G61" s="175"/>
      <c r="H61" s="148"/>
      <c r="I61" s="161"/>
      <c r="J61" s="163"/>
      <c r="K61" s="163"/>
      <c r="L61" s="163"/>
      <c r="M61" s="163"/>
      <c r="N61" s="163"/>
      <c r="O61" s="42"/>
      <c r="P61" s="148"/>
      <c r="Q61" s="168">
        <f t="shared" si="3"/>
        <v>11217770.249170534</v>
      </c>
      <c r="R61" s="118">
        <v>0.25</v>
      </c>
    </row>
    <row r="62" spans="1:18" ht="18" customHeight="1">
      <c r="A62" s="31"/>
      <c r="B62" s="176" t="str">
        <f>Params!H3</f>
        <v>realizace cost management controling/měsíc</v>
      </c>
      <c r="C62" s="94">
        <v>1</v>
      </c>
      <c r="D62" s="95" t="s">
        <v>62</v>
      </c>
      <c r="E62" s="152"/>
      <c r="F62" s="138"/>
      <c r="G62" s="175"/>
      <c r="H62" s="148"/>
      <c r="I62" s="30"/>
      <c r="J62" s="163"/>
      <c r="K62" s="163"/>
      <c r="L62" s="163"/>
      <c r="M62" s="163"/>
      <c r="N62" s="163"/>
      <c r="O62" s="42"/>
      <c r="P62" s="148"/>
      <c r="Q62" s="172">
        <f t="shared" si="3"/>
        <v>6.5565109175214076E-9</v>
      </c>
      <c r="R62" s="178">
        <f>($J$30-$C$14-$C$23-$C$48-$C$69-$C$81+$N$24+$N$25+$N$26)/$C$40-1</f>
        <v>0.43293030871190141</v>
      </c>
    </row>
    <row r="63" spans="1:18" ht="18" customHeight="1">
      <c r="A63" s="31"/>
      <c r="B63" s="93" t="str">
        <f>'Cash-flow BASE'!C42</f>
        <v>Koordinátor BOZP</v>
      </c>
      <c r="C63" s="94">
        <v>1</v>
      </c>
      <c r="D63" s="95" t="s">
        <v>62</v>
      </c>
      <c r="E63" s="152">
        <f>F63/C40</f>
        <v>0</v>
      </c>
      <c r="F63" s="97"/>
      <c r="G63" s="175"/>
      <c r="H63" s="148"/>
      <c r="I63" s="163"/>
      <c r="J63" s="163"/>
      <c r="K63" s="163"/>
      <c r="L63" s="163"/>
      <c r="M63" s="163"/>
      <c r="N63" s="163"/>
      <c r="O63" s="42"/>
      <c r="P63" s="148"/>
      <c r="Q63" s="30"/>
      <c r="R63" s="30"/>
    </row>
    <row r="64" spans="1:18" ht="18" customHeight="1">
      <c r="A64" s="31"/>
      <c r="B64" s="93" t="str">
        <f>'Cash-flow BASE'!C43</f>
        <v>Administrativní náklady</v>
      </c>
      <c r="C64" s="94">
        <v>1</v>
      </c>
      <c r="D64" s="95" t="s">
        <v>62</v>
      </c>
      <c r="E64" s="152">
        <v>2E-3</v>
      </c>
      <c r="F64" s="174">
        <v>151800</v>
      </c>
      <c r="G64" s="42"/>
      <c r="H64" s="148"/>
      <c r="I64" s="30"/>
      <c r="J64" s="163"/>
      <c r="K64" s="163"/>
      <c r="L64" s="163"/>
      <c r="M64" s="163"/>
      <c r="N64" s="163"/>
      <c r="O64" s="42"/>
      <c r="P64" s="148"/>
      <c r="Q64" s="30"/>
      <c r="R64" s="30"/>
    </row>
    <row r="65" spans="1:18" ht="18" customHeight="1">
      <c r="A65" s="31"/>
      <c r="B65" s="93" t="str">
        <f>'Cash-flow BASE'!C44</f>
        <v>Ostatní náklady</v>
      </c>
      <c r="C65" s="94">
        <v>1</v>
      </c>
      <c r="D65" s="151" t="s">
        <v>62</v>
      </c>
      <c r="E65" s="152">
        <v>2E-3</v>
      </c>
      <c r="F65" s="174">
        <v>151800</v>
      </c>
      <c r="G65" s="42"/>
      <c r="H65" s="148"/>
      <c r="I65" s="161"/>
      <c r="J65" s="163"/>
      <c r="K65" s="163"/>
      <c r="L65" s="163"/>
      <c r="M65" s="163"/>
      <c r="N65" s="163"/>
      <c r="O65" s="42"/>
      <c r="P65" s="148"/>
      <c r="Q65" s="30"/>
      <c r="R65" s="30"/>
    </row>
    <row r="66" spans="1:18" ht="18" customHeight="1">
      <c r="B66" s="93" t="str">
        <f>'Cash-flow BASE'!C45</f>
        <v>Právní služby</v>
      </c>
      <c r="C66" s="94">
        <v>1</v>
      </c>
      <c r="D66" s="151" t="s">
        <v>125</v>
      </c>
      <c r="E66" s="152">
        <v>3.0000000000000001E-3</v>
      </c>
      <c r="F66" s="174">
        <v>227700</v>
      </c>
      <c r="G66" s="42"/>
      <c r="H66" s="148"/>
      <c r="I66" s="161"/>
      <c r="J66" s="163"/>
      <c r="K66" s="163"/>
      <c r="L66" s="163"/>
      <c r="M66" s="163"/>
      <c r="N66" s="163"/>
      <c r="O66" s="42"/>
      <c r="P66" s="148"/>
      <c r="Q66" s="518" t="s">
        <v>126</v>
      </c>
      <c r="R66" s="561"/>
    </row>
    <row r="67" spans="1:18" ht="18" customHeight="1">
      <c r="A67" s="31"/>
      <c r="B67" s="93" t="str">
        <f>'Cash-flow BASE'!C46</f>
        <v>Marketing</v>
      </c>
      <c r="C67" s="94">
        <v>1</v>
      </c>
      <c r="D67" s="151" t="s">
        <v>62</v>
      </c>
      <c r="E67" s="152">
        <v>3.0000000000000001E-3</v>
      </c>
      <c r="F67" s="174">
        <v>227700</v>
      </c>
      <c r="G67" s="42"/>
      <c r="H67" s="148"/>
      <c r="I67" s="179"/>
      <c r="J67" s="163"/>
      <c r="K67" s="163"/>
      <c r="L67" s="163"/>
      <c r="M67" s="163"/>
      <c r="N67" s="163"/>
      <c r="O67" s="42"/>
      <c r="P67" s="148"/>
      <c r="Q67" s="165" t="s">
        <v>117</v>
      </c>
      <c r="R67" s="166" t="s">
        <v>127</v>
      </c>
    </row>
    <row r="68" spans="1:18" ht="18" customHeight="1">
      <c r="A68" s="31"/>
      <c r="B68" s="93" t="str">
        <f>'Cash-flow BASE'!C47</f>
        <v>Letting fee</v>
      </c>
      <c r="C68" s="433">
        <v>1</v>
      </c>
      <c r="D68" s="482" t="s">
        <v>128</v>
      </c>
      <c r="E68" s="485">
        <v>2</v>
      </c>
      <c r="F68" s="486">
        <f>E68*N17</f>
        <v>1419356.5</v>
      </c>
      <c r="G68" s="42"/>
      <c r="H68" s="148"/>
      <c r="I68" s="161"/>
      <c r="J68" s="163"/>
      <c r="K68" s="161"/>
      <c r="L68" s="163"/>
      <c r="M68" s="163"/>
      <c r="N68" s="163"/>
      <c r="O68" s="42"/>
      <c r="P68" s="148"/>
      <c r="Q68" s="168">
        <f t="shared" ref="Q68:Q72" si="4">$J$30-$C$14-$C$23-$C$40-$C$48-$C$69+$N$24+$N$25+$N$26-$F$76-$F$79-$D$86*($E$78/12*(SUM($R$12:$R$13)+R68))</f>
        <v>25946020.653693207</v>
      </c>
      <c r="R68" s="180">
        <v>0</v>
      </c>
    </row>
    <row r="69" spans="1:18" ht="18" customHeight="1">
      <c r="A69" s="31"/>
      <c r="B69" s="75" t="s">
        <v>65</v>
      </c>
      <c r="C69" s="520">
        <f>F54+F55+F59+F63+SUM(F64:F68)</f>
        <v>6485356.5</v>
      </c>
      <c r="D69" s="560"/>
      <c r="E69" s="560"/>
      <c r="F69" s="561"/>
      <c r="G69" s="42"/>
      <c r="H69" s="148"/>
      <c r="I69" s="163"/>
      <c r="J69" s="163"/>
      <c r="K69" s="163"/>
      <c r="L69" s="163"/>
      <c r="M69" s="163"/>
      <c r="N69" s="163"/>
      <c r="O69" s="42"/>
      <c r="P69" s="148"/>
      <c r="Q69" s="168">
        <f t="shared" si="4"/>
        <v>24205723.17564762</v>
      </c>
      <c r="R69" s="180">
        <v>6</v>
      </c>
    </row>
    <row r="70" spans="1:18" ht="18" customHeight="1">
      <c r="A70" s="31"/>
      <c r="B70" s="79" t="s">
        <v>67</v>
      </c>
      <c r="C70" s="167"/>
      <c r="D70" s="167"/>
      <c r="E70" s="167"/>
      <c r="F70" s="80">
        <f>C69/$J$17</f>
        <v>3043.3395119662132</v>
      </c>
      <c r="G70" s="42"/>
      <c r="H70" s="148"/>
      <c r="I70" s="30"/>
      <c r="J70" s="30"/>
      <c r="K70" s="30"/>
      <c r="L70" s="30"/>
      <c r="M70" s="30"/>
      <c r="N70" s="30"/>
      <c r="O70" s="42"/>
      <c r="P70" s="148"/>
      <c r="Q70" s="168">
        <f t="shared" si="4"/>
        <v>22465425.697602034</v>
      </c>
      <c r="R70" s="180">
        <v>12</v>
      </c>
    </row>
    <row r="71" spans="1:18" ht="18" customHeight="1">
      <c r="A71" s="31"/>
      <c r="B71" s="30"/>
      <c r="C71" s="39"/>
      <c r="D71" s="40"/>
      <c r="E71" s="43"/>
      <c r="F71" s="42"/>
      <c r="G71" s="42"/>
      <c r="H71" s="148"/>
      <c r="I71" s="30"/>
      <c r="J71" s="30"/>
      <c r="K71" s="30"/>
      <c r="L71" s="30"/>
      <c r="M71" s="30"/>
      <c r="N71" s="30"/>
      <c r="O71" s="42"/>
      <c r="P71" s="148"/>
      <c r="Q71" s="168">
        <f t="shared" si="4"/>
        <v>18984830.741510857</v>
      </c>
      <c r="R71" s="487">
        <v>24</v>
      </c>
    </row>
    <row r="72" spans="1:18" ht="18" customHeight="1">
      <c r="A72" s="31"/>
      <c r="B72" s="30"/>
      <c r="C72" s="39"/>
      <c r="D72" s="40"/>
      <c r="E72" s="43"/>
      <c r="F72" s="42"/>
      <c r="G72" s="42"/>
      <c r="H72" s="148"/>
      <c r="I72" s="30"/>
      <c r="J72" s="30"/>
      <c r="K72" s="30"/>
      <c r="L72" s="30"/>
      <c r="M72" s="30"/>
      <c r="N72" s="30"/>
      <c r="O72" s="42"/>
      <c r="P72" s="148"/>
      <c r="Q72" s="172">
        <f t="shared" si="4"/>
        <v>0.21000000461935997</v>
      </c>
      <c r="R72" s="181">
        <f>(($J$30-$C$14-$C$23-$C$40-$C$48-$C$69+$N$24+$N$26-$F$76-$F$79)/D86/E78*12)-SUM($R$12:$R$13)</f>
        <v>89.453742607837768</v>
      </c>
    </row>
    <row r="73" spans="1:18" ht="18" customHeight="1">
      <c r="A73" s="31" t="s">
        <v>129</v>
      </c>
      <c r="B73" s="521" t="str">
        <f>'Cash-flow BASE'!C48</f>
        <v>F. Financial costs</v>
      </c>
      <c r="C73" s="560"/>
      <c r="D73" s="560"/>
      <c r="E73" s="560"/>
      <c r="F73" s="561"/>
      <c r="G73" s="42"/>
      <c r="H73" s="148"/>
      <c r="I73" s="30"/>
      <c r="J73" s="30"/>
      <c r="K73" s="30"/>
      <c r="L73" s="30"/>
      <c r="M73" s="30"/>
      <c r="N73" s="30"/>
      <c r="O73" s="42"/>
      <c r="P73" s="148"/>
      <c r="Q73" s="30"/>
      <c r="R73" s="30"/>
    </row>
    <row r="74" spans="1:18" ht="18" customHeight="1">
      <c r="A74" s="31"/>
      <c r="B74" s="87"/>
      <c r="C74" s="88" t="s">
        <v>47</v>
      </c>
      <c r="D74" s="48" t="s">
        <v>72</v>
      </c>
      <c r="E74" s="88" t="s">
        <v>73</v>
      </c>
      <c r="F74" s="89"/>
      <c r="G74" s="42"/>
      <c r="H74" s="148"/>
      <c r="I74" s="30"/>
      <c r="J74" s="30"/>
      <c r="K74" s="30"/>
      <c r="L74" s="30"/>
      <c r="M74" s="30"/>
      <c r="N74" s="30"/>
      <c r="O74" s="42"/>
      <c r="P74" s="148"/>
      <c r="Q74" s="30"/>
      <c r="R74" s="30"/>
    </row>
    <row r="75" spans="1:18" ht="18" customHeight="1">
      <c r="A75" s="31"/>
      <c r="B75" s="182" t="s">
        <v>130</v>
      </c>
      <c r="C75" s="183"/>
      <c r="D75" s="184"/>
      <c r="E75" s="185"/>
      <c r="F75" s="186">
        <f>SUM(F76:F77)</f>
        <v>401607.11031821254</v>
      </c>
      <c r="G75" s="42"/>
      <c r="H75" s="148"/>
      <c r="I75" s="30"/>
      <c r="J75" s="30"/>
      <c r="K75" s="30"/>
      <c r="L75" s="30"/>
      <c r="M75" s="30"/>
      <c r="N75" s="30"/>
      <c r="O75" s="42"/>
      <c r="P75" s="148"/>
      <c r="Q75" s="30"/>
      <c r="R75" s="30"/>
    </row>
    <row r="76" spans="1:18" ht="18" customHeight="1">
      <c r="A76" s="31"/>
      <c r="B76" s="93" t="str">
        <f>'Cash-flow BASE'!C49</f>
        <v>Poplatky za zpracování úvěru</v>
      </c>
      <c r="C76" s="94">
        <v>1</v>
      </c>
      <c r="D76" s="95" t="s">
        <v>62</v>
      </c>
      <c r="E76" s="152">
        <v>2.5000000000000001E-3</v>
      </c>
      <c r="F76" s="187">
        <f t="shared" ref="F76:F77" si="5">$D$86*E76</f>
        <v>133869.03677273751</v>
      </c>
      <c r="G76" s="42"/>
      <c r="H76" s="148"/>
      <c r="I76" s="30"/>
      <c r="J76" s="30"/>
      <c r="K76" s="30"/>
      <c r="L76" s="30"/>
      <c r="M76" s="30"/>
      <c r="N76" s="30"/>
      <c r="O76" s="42"/>
      <c r="P76" s="148"/>
      <c r="Q76" s="30"/>
      <c r="R76" s="30"/>
    </row>
    <row r="77" spans="1:18" ht="18" customHeight="1">
      <c r="A77" s="31"/>
      <c r="B77" s="93" t="str">
        <f>'Cash-flow BASE'!C50</f>
        <v>Poplatek financování</v>
      </c>
      <c r="C77" s="94">
        <v>1</v>
      </c>
      <c r="D77" s="95" t="s">
        <v>62</v>
      </c>
      <c r="E77" s="152">
        <v>5.0000000000000001E-3</v>
      </c>
      <c r="F77" s="187">
        <f t="shared" si="5"/>
        <v>267738.07354547502</v>
      </c>
      <c r="G77" s="42"/>
      <c r="H77" s="148"/>
      <c r="I77" s="30"/>
      <c r="J77" s="30"/>
      <c r="K77" s="30"/>
      <c r="L77" s="30"/>
      <c r="M77" s="30"/>
      <c r="N77" s="30"/>
      <c r="O77" s="42"/>
      <c r="P77" s="148"/>
      <c r="Q77" s="30"/>
      <c r="R77" s="30"/>
    </row>
    <row r="78" spans="1:18" ht="18" customHeight="1">
      <c r="A78" s="31"/>
      <c r="B78" s="93" t="str">
        <f>'Cash-flow BASE'!C51</f>
        <v>Úrokové náklady</v>
      </c>
      <c r="C78" s="94">
        <v>1</v>
      </c>
      <c r="D78" s="95" t="s">
        <v>131</v>
      </c>
      <c r="E78" s="152">
        <v>6.5000000000000002E-2</v>
      </c>
      <c r="F78" s="57">
        <f>D86*(E78/12*SUM(R12))</f>
        <v>2610446.2170683816</v>
      </c>
      <c r="G78" s="42"/>
      <c r="H78" s="148"/>
      <c r="I78" s="30"/>
      <c r="J78" s="30"/>
      <c r="K78" s="30"/>
      <c r="L78" s="30"/>
      <c r="M78" s="30"/>
      <c r="N78" s="30"/>
      <c r="O78" s="42"/>
      <c r="P78" s="148"/>
      <c r="Q78" s="30"/>
      <c r="R78" s="30"/>
    </row>
    <row r="79" spans="1:18" ht="18" customHeight="1">
      <c r="A79" s="31"/>
      <c r="B79" s="93" t="str">
        <f>'Cash-flow BASE'!C52</f>
        <v>Bankovní poplatky</v>
      </c>
      <c r="C79" s="94">
        <v>1</v>
      </c>
      <c r="D79" s="482" t="s">
        <v>56</v>
      </c>
      <c r="E79" s="56">
        <v>1000</v>
      </c>
      <c r="F79" s="428">
        <f>E79*(R14+1)</f>
        <v>26000</v>
      </c>
      <c r="G79" s="42"/>
      <c r="H79" s="148"/>
      <c r="I79" s="30"/>
      <c r="J79" s="30"/>
      <c r="K79" s="30"/>
      <c r="L79" s="30"/>
      <c r="M79" s="30"/>
      <c r="N79" s="30"/>
      <c r="O79" s="42"/>
      <c r="P79" s="148"/>
      <c r="Q79" s="30"/>
      <c r="R79" s="30"/>
    </row>
    <row r="80" spans="1:18" ht="18" customHeight="1">
      <c r="A80" s="31"/>
      <c r="B80" s="93" t="str">
        <f>'Cash-flow BASE'!C53</f>
        <v>Daně</v>
      </c>
      <c r="C80" s="433">
        <v>1</v>
      </c>
      <c r="D80" s="482" t="s">
        <v>56</v>
      </c>
      <c r="E80" s="434">
        <v>0</v>
      </c>
      <c r="F80" s="428">
        <f>E80</f>
        <v>0</v>
      </c>
      <c r="G80" s="42"/>
      <c r="H80" s="148"/>
      <c r="I80" s="30"/>
      <c r="J80" s="30"/>
      <c r="K80" s="30"/>
      <c r="L80" s="30"/>
      <c r="M80" s="30"/>
      <c r="N80" s="30"/>
      <c r="O80" s="42"/>
      <c r="P80" s="148"/>
      <c r="Q80" s="30"/>
      <c r="R80" s="30"/>
    </row>
    <row r="81" spans="1:6" ht="18" customHeight="1">
      <c r="A81" s="31"/>
      <c r="B81" s="75" t="s">
        <v>65</v>
      </c>
      <c r="C81" s="520">
        <f>SUM(F76:F80)</f>
        <v>3038053.3273865944</v>
      </c>
      <c r="D81" s="560"/>
      <c r="E81" s="560"/>
      <c r="F81" s="561"/>
    </row>
    <row r="82" spans="1:6" ht="18" customHeight="1">
      <c r="A82" s="31"/>
      <c r="B82" s="79" t="s">
        <v>67</v>
      </c>
      <c r="C82" s="167"/>
      <c r="D82" s="167"/>
      <c r="E82" s="167"/>
      <c r="F82" s="80">
        <f>C81/$J$17</f>
        <v>1425.6467983982141</v>
      </c>
    </row>
    <row r="83" spans="1:6" ht="18" customHeight="1">
      <c r="A83" s="31"/>
      <c r="B83" s="30"/>
      <c r="C83" s="39"/>
      <c r="D83" s="40"/>
      <c r="E83" s="43"/>
      <c r="F83" s="42"/>
    </row>
    <row r="84" spans="1:6" ht="18" customHeight="1">
      <c r="A84" s="31"/>
      <c r="B84" s="30"/>
      <c r="C84" s="39"/>
      <c r="D84" s="40"/>
      <c r="E84" s="43"/>
      <c r="F84" s="42"/>
    </row>
    <row r="85" spans="1:6" ht="18" customHeight="1">
      <c r="A85" s="31"/>
      <c r="B85" s="188" t="s">
        <v>132</v>
      </c>
      <c r="C85" s="189"/>
      <c r="D85" s="190"/>
      <c r="E85" s="191"/>
      <c r="F85" s="192"/>
    </row>
    <row r="86" spans="1:6" ht="18" customHeight="1">
      <c r="A86" s="31"/>
      <c r="B86" s="488" t="s">
        <v>133</v>
      </c>
      <c r="C86" s="193"/>
      <c r="D86" s="489">
        <f>(C14+C23+C40+C48+C69)*C88</f>
        <v>53547614.709095009</v>
      </c>
      <c r="E86" s="42"/>
      <c r="F86" s="30"/>
    </row>
    <row r="87" spans="1:6" ht="18" customHeight="1">
      <c r="A87" s="31"/>
      <c r="B87" s="488" t="s">
        <v>134</v>
      </c>
      <c r="C87" s="193"/>
      <c r="D87" s="489">
        <f>(F76+F78)</f>
        <v>2744315.2538411189</v>
      </c>
      <c r="E87" s="42"/>
      <c r="F87" s="30"/>
    </row>
    <row r="88" spans="1:6" ht="18" customHeight="1">
      <c r="A88" s="31"/>
      <c r="B88" s="490" t="s">
        <v>135</v>
      </c>
      <c r="C88" s="194">
        <v>0.65</v>
      </c>
      <c r="D88" s="491">
        <f>SUM(D86:D87)</f>
        <v>56291929.962936126</v>
      </c>
      <c r="E88" s="42"/>
      <c r="F88" s="30"/>
    </row>
    <row r="89" spans="1:6" ht="18" customHeight="1">
      <c r="A89" s="31"/>
      <c r="B89" s="490" t="s">
        <v>136</v>
      </c>
      <c r="C89" s="194">
        <f>100%-C88</f>
        <v>0.35</v>
      </c>
      <c r="D89" s="492">
        <f>C93-D88</f>
        <v>29127069.070750467</v>
      </c>
      <c r="E89" s="42"/>
      <c r="F89" s="30"/>
    </row>
    <row r="90" spans="1:6" ht="18" customHeight="1">
      <c r="A90" s="31"/>
      <c r="B90" s="195" t="s">
        <v>137</v>
      </c>
      <c r="C90" s="196">
        <v>1</v>
      </c>
      <c r="D90" s="493">
        <f>C93</f>
        <v>85418999.033686593</v>
      </c>
      <c r="E90" s="42"/>
      <c r="F90" s="30"/>
    </row>
    <row r="91" spans="1:6" ht="18" customHeight="1">
      <c r="A91" s="31"/>
      <c r="B91" s="30"/>
      <c r="C91" s="39"/>
      <c r="D91" s="40"/>
      <c r="E91" s="43"/>
      <c r="F91" s="42"/>
    </row>
    <row r="92" spans="1:6" ht="18" customHeight="1">
      <c r="A92" s="31"/>
      <c r="B92" s="30"/>
      <c r="C92" s="39"/>
      <c r="D92" s="40"/>
      <c r="E92" s="43"/>
      <c r="F92" s="42"/>
    </row>
    <row r="93" spans="1:6" ht="18" customHeight="1">
      <c r="A93" s="31"/>
      <c r="B93" s="197" t="s">
        <v>138</v>
      </c>
      <c r="C93" s="528">
        <f>C14+C23+C40+C48+C69+C81</f>
        <v>85418999.033686593</v>
      </c>
      <c r="D93" s="560"/>
      <c r="E93" s="560"/>
      <c r="F93" s="561"/>
    </row>
    <row r="94" spans="1:6" ht="18" customHeight="1">
      <c r="A94" s="31"/>
      <c r="B94" s="30"/>
      <c r="C94" s="39"/>
      <c r="D94" s="40"/>
      <c r="E94" s="43"/>
      <c r="F94" s="42"/>
    </row>
    <row r="95" spans="1:6" ht="18" customHeight="1">
      <c r="A95" s="31"/>
      <c r="B95" s="198" t="s">
        <v>139</v>
      </c>
      <c r="C95" s="529">
        <f>C93/$J$17</f>
        <v>40083.997669491597</v>
      </c>
      <c r="D95" s="560"/>
      <c r="E95" s="560"/>
      <c r="F95" s="561"/>
    </row>
  </sheetData>
  <mergeCells count="33">
    <mergeCell ref="C93:F93"/>
    <mergeCell ref="C95:F95"/>
    <mergeCell ref="C40:F40"/>
    <mergeCell ref="B44:F44"/>
    <mergeCell ref="C48:F48"/>
    <mergeCell ref="B52:F52"/>
    <mergeCell ref="C69:F69"/>
    <mergeCell ref="B73:F73"/>
    <mergeCell ref="C81:F81"/>
    <mergeCell ref="B27:F27"/>
    <mergeCell ref="Q27:R27"/>
    <mergeCell ref="Q47:R47"/>
    <mergeCell ref="Q57:R57"/>
    <mergeCell ref="Q66:R66"/>
    <mergeCell ref="J27:N27"/>
    <mergeCell ref="J28:N28"/>
    <mergeCell ref="J29:N29"/>
    <mergeCell ref="J30:N30"/>
    <mergeCell ref="I35:I36"/>
    <mergeCell ref="M35:N36"/>
    <mergeCell ref="Q35:R35"/>
    <mergeCell ref="C14:F14"/>
    <mergeCell ref="B17:F17"/>
    <mergeCell ref="Q17:R17"/>
    <mergeCell ref="J18:N18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B2">
    <cfRule type="notContainsBlanks" dxfId="22" priority="5">
      <formula>LEN(TRIM(B2))&gt;0</formula>
    </cfRule>
  </conditionalFormatting>
  <conditionalFormatting sqref="I35 M35">
    <cfRule type="cellIs" dxfId="21" priority="1" operator="lessThan">
      <formula>0</formula>
    </cfRule>
  </conditionalFormatting>
  <conditionalFormatting sqref="J31:L41 I37:I41 M37:M41">
    <cfRule type="cellIs" dxfId="20" priority="2" operator="lessThan">
      <formula>0</formula>
    </cfRule>
  </conditionalFormatting>
  <conditionalFormatting sqref="J27:N27">
    <cfRule type="notContainsBlanks" dxfId="19" priority="6">
      <formula>LEN(TRIM(J27))&gt;0</formula>
    </cfRule>
  </conditionalFormatting>
  <conditionalFormatting sqref="R16 R20:R26 U22:U24 R28:R34">
    <cfRule type="cellIs" dxfId="18" priority="3" operator="lessThan">
      <formula>0</formula>
    </cfRule>
  </conditionalFormatting>
  <conditionalFormatting sqref="R36:R42">
    <cfRule type="cellIs" dxfId="17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O10"/>
  <sheetViews>
    <sheetView workbookViewId="0">
      <pane xSplit="1" ySplit="1" topLeftCell="B2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ColWidth="12.625" defaultRowHeight="15" customHeight="1"/>
  <cols>
    <col min="1" max="1" width="25.375" customWidth="1"/>
    <col min="2" max="2" width="36.125" hidden="1" customWidth="1"/>
    <col min="3" max="3" width="10.5" customWidth="1"/>
    <col min="4" max="4" width="21.125" customWidth="1"/>
    <col min="5" max="5" width="44.125" customWidth="1"/>
    <col min="6" max="7" width="10" customWidth="1"/>
    <col min="8" max="8" width="36.125" customWidth="1"/>
    <col min="9" max="9" width="8.625" customWidth="1"/>
    <col min="10" max="10" width="9.625" customWidth="1"/>
    <col min="11" max="11" width="14.5" customWidth="1"/>
    <col min="12" max="12" width="6.625" customWidth="1"/>
    <col min="13" max="13" width="18.5" customWidth="1"/>
    <col min="14" max="15" width="37.125" customWidth="1"/>
    <col min="16" max="16" width="15.625" customWidth="1"/>
    <col min="17" max="17" width="14.625" customWidth="1"/>
    <col min="18" max="18" width="15.875" customWidth="1"/>
    <col min="19" max="19" width="13.625" customWidth="1"/>
    <col min="20" max="20" width="15.625" customWidth="1"/>
    <col min="21" max="21" width="17.5" customWidth="1"/>
    <col min="22" max="39" width="9.375" customWidth="1"/>
  </cols>
  <sheetData>
    <row r="1" spans="1:15" ht="15.75" customHeight="1">
      <c r="A1" s="199" t="s">
        <v>140</v>
      </c>
      <c r="B1" s="199" t="s">
        <v>141</v>
      </c>
      <c r="C1" s="199" t="s">
        <v>142</v>
      </c>
      <c r="D1" s="199" t="s">
        <v>143</v>
      </c>
      <c r="E1" s="199" t="s">
        <v>144</v>
      </c>
      <c r="F1" s="199" t="s">
        <v>145</v>
      </c>
      <c r="G1" s="199" t="s">
        <v>146</v>
      </c>
      <c r="H1" s="199" t="s">
        <v>147</v>
      </c>
      <c r="I1" s="199" t="s">
        <v>148</v>
      </c>
      <c r="J1" s="199" t="s">
        <v>149</v>
      </c>
      <c r="K1" s="199" t="s">
        <v>150</v>
      </c>
      <c r="L1" s="199" t="s">
        <v>151</v>
      </c>
      <c r="M1" s="199" t="s">
        <v>152</v>
      </c>
      <c r="N1" s="199" t="s">
        <v>153</v>
      </c>
      <c r="O1" s="199" t="s">
        <v>153</v>
      </c>
    </row>
    <row r="2" spans="1:15" ht="17.100000000000001">
      <c r="A2" s="200" t="s">
        <v>154</v>
      </c>
      <c r="B2" s="201" t="str">
        <f>TEXT(G2,"mm.yyyy")</f>
        <v>01.yyyy</v>
      </c>
      <c r="C2" s="202" t="s">
        <v>155</v>
      </c>
      <c r="D2" s="203">
        <v>0.05</v>
      </c>
      <c r="E2" s="204" t="s">
        <v>156</v>
      </c>
      <c r="F2" s="205"/>
      <c r="G2" s="205"/>
      <c r="H2" s="206"/>
      <c r="I2" s="206" t="b">
        <v>0</v>
      </c>
      <c r="J2" s="494"/>
      <c r="K2" s="494"/>
      <c r="L2" s="206"/>
      <c r="M2" s="206"/>
      <c r="N2" s="206"/>
      <c r="O2" s="206"/>
    </row>
    <row r="3" spans="1:15" ht="15.95">
      <c r="A3" s="200"/>
      <c r="B3" s="201"/>
      <c r="C3" s="202"/>
      <c r="D3" s="203"/>
      <c r="E3" s="204"/>
      <c r="F3" s="205"/>
      <c r="G3" s="205"/>
      <c r="H3" s="206"/>
      <c r="I3" s="206" t="b">
        <v>0</v>
      </c>
      <c r="J3" s="494"/>
      <c r="K3" s="494"/>
      <c r="L3" s="206"/>
      <c r="M3" s="206"/>
      <c r="N3" s="206"/>
      <c r="O3" s="206"/>
    </row>
    <row r="4" spans="1:15" ht="17.100000000000001">
      <c r="A4" s="200" t="s">
        <v>157</v>
      </c>
      <c r="B4" s="201" t="str">
        <f t="shared" ref="B4:B10" si="0">TEXT(G4,"mm.yyyy")</f>
        <v>01.yyyy</v>
      </c>
      <c r="C4" s="202" t="s">
        <v>158</v>
      </c>
      <c r="D4" s="203">
        <v>0.3</v>
      </c>
      <c r="E4" s="204"/>
      <c r="F4" s="205">
        <f>G2</f>
        <v>0</v>
      </c>
      <c r="G4" s="205"/>
      <c r="H4" s="206"/>
      <c r="I4" s="206" t="b">
        <v>0</v>
      </c>
      <c r="J4" s="494"/>
      <c r="K4" s="494"/>
      <c r="L4" s="206"/>
      <c r="M4" s="206"/>
      <c r="N4" s="206"/>
      <c r="O4" s="206"/>
    </row>
    <row r="5" spans="1:15" ht="15.95">
      <c r="A5" s="208" t="s">
        <v>159</v>
      </c>
      <c r="B5" s="201" t="str">
        <f t="shared" si="0"/>
        <v>01.yyyy</v>
      </c>
      <c r="C5" s="202" t="s">
        <v>155</v>
      </c>
      <c r="D5" s="203">
        <v>0.3</v>
      </c>
      <c r="E5" s="204"/>
      <c r="F5" s="209">
        <f t="shared" ref="F5:F6" si="1">G4</f>
        <v>0</v>
      </c>
      <c r="G5" s="205"/>
      <c r="H5" s="206"/>
      <c r="I5" s="206" t="b">
        <v>0</v>
      </c>
      <c r="J5" s="494"/>
      <c r="K5" s="494"/>
      <c r="L5" s="206"/>
      <c r="M5" s="206"/>
      <c r="N5" s="206"/>
      <c r="O5" s="206"/>
    </row>
    <row r="6" spans="1:15" ht="15.75" customHeight="1">
      <c r="A6" s="208" t="s">
        <v>160</v>
      </c>
      <c r="B6" s="201" t="str">
        <f t="shared" si="0"/>
        <v>01.yyyy</v>
      </c>
      <c r="C6" s="202" t="s">
        <v>161</v>
      </c>
      <c r="D6" s="203">
        <v>0.35</v>
      </c>
      <c r="E6" s="204"/>
      <c r="F6" s="205">
        <f t="shared" si="1"/>
        <v>0</v>
      </c>
      <c r="G6" s="209"/>
      <c r="H6" s="206"/>
      <c r="I6" s="206" t="b">
        <v>0</v>
      </c>
      <c r="J6" s="494"/>
      <c r="K6" s="494"/>
      <c r="L6" s="206"/>
      <c r="M6" s="206"/>
      <c r="N6" s="206"/>
      <c r="O6" s="206"/>
    </row>
    <row r="7" spans="1:15" ht="15.75" customHeight="1">
      <c r="A7" s="208" t="s">
        <v>162</v>
      </c>
      <c r="B7" s="201" t="str">
        <f t="shared" si="0"/>
        <v>01.yyyy</v>
      </c>
      <c r="C7" s="202"/>
      <c r="D7" s="202"/>
      <c r="E7" s="204"/>
      <c r="F7" s="206"/>
      <c r="G7" s="206"/>
      <c r="H7" s="206"/>
      <c r="I7" s="206" t="b">
        <v>0</v>
      </c>
      <c r="J7" s="494"/>
      <c r="K7" s="494"/>
      <c r="L7" s="206"/>
      <c r="M7" s="206"/>
      <c r="N7" s="206"/>
      <c r="O7" s="206"/>
    </row>
    <row r="8" spans="1:15" ht="15.75" customHeight="1">
      <c r="A8" s="208" t="s">
        <v>163</v>
      </c>
      <c r="B8" s="201" t="str">
        <f t="shared" si="0"/>
        <v>01.yyyy</v>
      </c>
      <c r="C8" s="202"/>
      <c r="D8" s="202"/>
      <c r="E8" s="204"/>
      <c r="F8" s="209"/>
      <c r="G8" s="209"/>
      <c r="H8" s="206"/>
      <c r="I8" s="206" t="b">
        <v>0</v>
      </c>
      <c r="J8" s="494"/>
      <c r="K8" s="494"/>
      <c r="L8" s="206"/>
      <c r="M8" s="210"/>
      <c r="N8" s="206"/>
      <c r="O8" s="206"/>
    </row>
    <row r="9" spans="1:15" ht="15.75" customHeight="1">
      <c r="A9" s="208" t="s">
        <v>164</v>
      </c>
      <c r="B9" s="201" t="str">
        <f t="shared" si="0"/>
        <v>01.yyyy</v>
      </c>
      <c r="C9" s="202"/>
      <c r="D9" s="202"/>
      <c r="E9" s="204"/>
      <c r="F9" s="209"/>
      <c r="G9" s="209"/>
      <c r="H9" s="206"/>
      <c r="I9" s="206" t="b">
        <v>0</v>
      </c>
      <c r="J9" s="494"/>
      <c r="K9" s="494"/>
      <c r="L9" s="206"/>
      <c r="M9" s="210"/>
      <c r="N9" s="206"/>
      <c r="O9" s="206"/>
    </row>
    <row r="10" spans="1:15" ht="15.75" customHeight="1">
      <c r="A10" s="208" t="s">
        <v>165</v>
      </c>
      <c r="B10" s="201" t="str">
        <f t="shared" si="0"/>
        <v>01.yyyy</v>
      </c>
      <c r="C10" s="202"/>
      <c r="D10" s="202"/>
      <c r="E10" s="204"/>
      <c r="F10" s="209"/>
      <c r="G10" s="209"/>
      <c r="H10" s="206"/>
      <c r="I10" s="206" t="b">
        <v>0</v>
      </c>
      <c r="J10" s="494"/>
      <c r="K10" s="494"/>
      <c r="L10" s="206"/>
      <c r="M10" s="210"/>
      <c r="N10" s="206"/>
      <c r="O10" s="206"/>
    </row>
  </sheetData>
  <conditionalFormatting sqref="B2:B10 H2:I10">
    <cfRule type="cellIs" dxfId="16" priority="1" operator="equal">
      <formula>"TRUE"</formula>
    </cfRule>
  </conditionalFormatting>
  <dataValidations count="1">
    <dataValidation type="custom" allowBlank="1" showDropDown="1" showErrorMessage="1" sqref="F2:G10" xr:uid="{00000000-0002-0000-0200-000000000000}">
      <formula1>OR(NOT(ISERROR(DATEVALUE(F2))), AND(ISNUMBER(F2), LEFT(CELL("format", F2))="D"))</formula1>
    </dataValidation>
  </dataValidations>
  <pageMargins left="0.7" right="0.7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H10"/>
  <sheetViews>
    <sheetView workbookViewId="0"/>
  </sheetViews>
  <sheetFormatPr defaultColWidth="12.625" defaultRowHeight="15" customHeight="1"/>
  <cols>
    <col min="1" max="1" width="14.625" customWidth="1"/>
    <col min="2" max="2" width="23.625" customWidth="1"/>
    <col min="3" max="3" width="26.5" customWidth="1"/>
    <col min="4" max="4" width="12" customWidth="1"/>
    <col min="5" max="5" width="10" customWidth="1"/>
    <col min="6" max="7" width="16.375" customWidth="1"/>
  </cols>
  <sheetData>
    <row r="1" spans="1:8" ht="15.95">
      <c r="A1" s="212" t="s">
        <v>166</v>
      </c>
      <c r="B1" s="213" t="str">
        <f>HMG!E2</f>
        <v>Úkol (test)</v>
      </c>
      <c r="C1" s="214" t="s">
        <v>167</v>
      </c>
      <c r="D1" s="215">
        <f ca="1">SUM(G3:G10)</f>
        <v>0</v>
      </c>
      <c r="E1" s="214" t="s">
        <v>168</v>
      </c>
      <c r="F1" s="216"/>
      <c r="G1" s="217">
        <f ca="1">TODAY()</f>
        <v>46045</v>
      </c>
      <c r="H1" s="218" t="str">
        <f ca="1">IFERROR(__xludf.UNSUPPORTED(IMPORTRANGE("", ""))," #N/A")</f>
        <v xml:space="preserve"> #N/A</v>
      </c>
    </row>
    <row r="2" spans="1:8" ht="15.95">
      <c r="A2" s="219" t="s">
        <v>142</v>
      </c>
      <c r="B2" s="220" t="s">
        <v>169</v>
      </c>
      <c r="C2" s="220" t="s">
        <v>170</v>
      </c>
      <c r="D2" s="220" t="str">
        <f>HMG!E1</f>
        <v>Úkol</v>
      </c>
      <c r="E2" s="220" t="s">
        <v>146</v>
      </c>
      <c r="F2" s="220" t="s">
        <v>171</v>
      </c>
      <c r="G2" s="220" t="s">
        <v>171</v>
      </c>
      <c r="H2" s="211"/>
    </row>
    <row r="3" spans="1:8" ht="15.95">
      <c r="A3" s="208" t="str">
        <f>HMG!C2</f>
        <v>zapis KS</v>
      </c>
      <c r="B3" s="221">
        <f>HMG!D2</f>
        <v>0.05</v>
      </c>
      <c r="C3" s="222" t="e">
        <f t="shared" ref="C3:C9" ca="1" si="0">IF(B3&gt;0,($H$1*B3),"")</f>
        <v>#VALUE!</v>
      </c>
      <c r="D3" s="223" t="str">
        <f>HMG!E2</f>
        <v>Úkol (test)</v>
      </c>
      <c r="E3" s="223">
        <f>HMG!F2</f>
        <v>0</v>
      </c>
      <c r="F3" s="222" t="str">
        <f t="shared" ref="F3:F10" ca="1" si="1">IFERROR(C3/(E3-$B$1),"")</f>
        <v/>
      </c>
      <c r="G3" s="222" t="b">
        <f ca="1">(IF(D3&lt;$G$1,( IF(E3&lt;$G$1,F3*($G$1-$B$1)))))</f>
        <v>0</v>
      </c>
      <c r="H3" s="224"/>
    </row>
    <row r="4" spans="1:8" ht="15.95">
      <c r="A4" s="208">
        <f>HMG!C3</f>
        <v>0</v>
      </c>
      <c r="B4" s="221">
        <f>HMG!D3</f>
        <v>0</v>
      </c>
      <c r="C4" s="222" t="str">
        <f t="shared" si="0"/>
        <v/>
      </c>
      <c r="D4" s="223">
        <f>HMG!E3</f>
        <v>0</v>
      </c>
      <c r="E4" s="223">
        <f>HMG!F3</f>
        <v>0</v>
      </c>
      <c r="F4" s="222" t="str">
        <f t="shared" si="1"/>
        <v/>
      </c>
      <c r="G4" s="222" t="str">
        <f t="shared" ref="G4:G10" ca="1" si="2">IFERROR(IF(D4&lt;$G$1,( IF(E4&lt;$G$1,F4*($G$1-$B$1),F4*($G$1-$B$1)))),"")</f>
        <v/>
      </c>
      <c r="H4" s="211"/>
    </row>
    <row r="5" spans="1:8" ht="15.95">
      <c r="A5" s="208" t="str">
        <f>HMG!C4</f>
        <v>Nabýti SP</v>
      </c>
      <c r="B5" s="221">
        <f>HMG!D4</f>
        <v>0.3</v>
      </c>
      <c r="C5" s="222" t="e">
        <f t="shared" ca="1" si="0"/>
        <v>#VALUE!</v>
      </c>
      <c r="D5" s="223">
        <f>HMG!E4</f>
        <v>0</v>
      </c>
      <c r="E5" s="223">
        <f>HMG!F4</f>
        <v>0</v>
      </c>
      <c r="F5" s="222" t="str">
        <f t="shared" ca="1" si="1"/>
        <v/>
      </c>
      <c r="G5" s="222" t="str">
        <f t="shared" ca="1" si="2"/>
        <v/>
      </c>
      <c r="H5" s="211"/>
    </row>
    <row r="6" spans="1:8" ht="15.95">
      <c r="A6" s="208" t="str">
        <f>HMG!C5</f>
        <v>zapis KS</v>
      </c>
      <c r="B6" s="221">
        <f>HMG!D5</f>
        <v>0.3</v>
      </c>
      <c r="C6" s="222" t="e">
        <f t="shared" ca="1" si="0"/>
        <v>#VALUE!</v>
      </c>
      <c r="D6" s="223">
        <f>HMG!E5</f>
        <v>0</v>
      </c>
      <c r="E6" s="223">
        <f>HMG!F5</f>
        <v>0</v>
      </c>
      <c r="F6" s="222" t="str">
        <f t="shared" ca="1" si="1"/>
        <v/>
      </c>
      <c r="G6" s="222" t="str">
        <f t="shared" ca="1" si="2"/>
        <v/>
      </c>
      <c r="H6" s="211"/>
    </row>
    <row r="7" spans="1:8" ht="15.95">
      <c r="A7" s="208" t="str">
        <f>HMG!C6</f>
        <v>Najem</v>
      </c>
      <c r="B7" s="221">
        <f>HMG!D6</f>
        <v>0.35</v>
      </c>
      <c r="C7" s="222" t="e">
        <f t="shared" ca="1" si="0"/>
        <v>#VALUE!</v>
      </c>
      <c r="D7" s="223">
        <f>HMG!E6</f>
        <v>0</v>
      </c>
      <c r="E7" s="223">
        <f>HMG!F6</f>
        <v>0</v>
      </c>
      <c r="F7" s="222" t="str">
        <f t="shared" ca="1" si="1"/>
        <v/>
      </c>
      <c r="G7" s="222" t="str">
        <f t="shared" ca="1" si="2"/>
        <v/>
      </c>
      <c r="H7" s="211"/>
    </row>
    <row r="8" spans="1:8" ht="15.95">
      <c r="A8" s="225">
        <f>HMG!C7</f>
        <v>0</v>
      </c>
      <c r="B8" s="221">
        <f>HMG!D7</f>
        <v>0</v>
      </c>
      <c r="C8" s="222" t="str">
        <f t="shared" si="0"/>
        <v/>
      </c>
      <c r="D8" s="223">
        <f>HMG!E7</f>
        <v>0</v>
      </c>
      <c r="E8" s="223">
        <f>HMG!F7</f>
        <v>0</v>
      </c>
      <c r="F8" s="222" t="str">
        <f t="shared" si="1"/>
        <v/>
      </c>
      <c r="G8" s="222" t="str">
        <f t="shared" ca="1" si="2"/>
        <v/>
      </c>
      <c r="H8" s="211"/>
    </row>
    <row r="9" spans="1:8" ht="15.95">
      <c r="A9" s="225">
        <f>HMG!C8</f>
        <v>0</v>
      </c>
      <c r="B9" s="221">
        <f>HMG!D8</f>
        <v>0</v>
      </c>
      <c r="C9" s="222" t="str">
        <f t="shared" si="0"/>
        <v/>
      </c>
      <c r="D9" s="223">
        <f>HMG!E8</f>
        <v>0</v>
      </c>
      <c r="E9" s="223">
        <f>HMG!F8</f>
        <v>0</v>
      </c>
      <c r="F9" s="222" t="str">
        <f t="shared" si="1"/>
        <v/>
      </c>
      <c r="G9" s="222" t="str">
        <f t="shared" ca="1" si="2"/>
        <v/>
      </c>
      <c r="H9" s="211"/>
    </row>
    <row r="10" spans="1:8" ht="15" customHeight="1">
      <c r="A10" s="202">
        <f>HMG!C9</f>
        <v>0</v>
      </c>
      <c r="B10" s="203">
        <f>HMG!D9</f>
        <v>0</v>
      </c>
      <c r="C10" s="226" t="str">
        <f>IF(B10&gt;0,(Businessplan_prodej!$M$35*B10),"")</f>
        <v/>
      </c>
      <c r="D10" s="227">
        <f>HMG!F9</f>
        <v>0</v>
      </c>
      <c r="E10" s="205">
        <f>HMG!G9</f>
        <v>0</v>
      </c>
      <c r="F10" s="228" t="str">
        <f t="shared" si="1"/>
        <v/>
      </c>
      <c r="G10" s="228" t="str">
        <f t="shared" ca="1" si="2"/>
        <v/>
      </c>
    </row>
  </sheetData>
  <autoFilter ref="A2:G10" xr:uid="{00000000-0009-0000-0000-000003000000}"/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showGridLines="0" workbookViewId="0"/>
  </sheetViews>
  <sheetFormatPr defaultColWidth="8.875" defaultRowHeight="14.1"/>
  <sheetData/>
  <sheetProtection sheet="1" objects="1" selectLockedCells="1" selectUnlockedCells="1"/>
  <pageMargins left="0" right="0" top="0" bottom="0" header="0" footer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B1:CF158"/>
  <sheetViews>
    <sheetView workbookViewId="0">
      <pane xSplit="3" ySplit="4" topLeftCell="P15" activePane="bottomRight" state="frozen"/>
      <selection pane="bottomRight" activeCell="P14" sqref="P14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5" width="9.625" customWidth="1" outlineLevel="2"/>
    <col min="36" max="40" width="6.5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2" max="84" width="12.625" outlineLevel="1"/>
  </cols>
  <sheetData>
    <row r="1" spans="2:83">
      <c r="B1" s="230" t="s">
        <v>172</v>
      </c>
      <c r="C1" s="231">
        <v>45596</v>
      </c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 t="s">
        <v>173</v>
      </c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29"/>
      <c r="CB1" s="229"/>
      <c r="CC1" s="229"/>
      <c r="CD1" s="229"/>
      <c r="CE1" s="229"/>
    </row>
    <row r="2" spans="2:83">
      <c r="B2" s="545" t="s">
        <v>174</v>
      </c>
      <c r="C2" s="564"/>
      <c r="D2" s="495"/>
      <c r="E2" s="530">
        <v>45292</v>
      </c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8"/>
      <c r="Q2" s="531">
        <v>2025</v>
      </c>
      <c r="R2" s="567"/>
      <c r="S2" s="567"/>
      <c r="T2" s="567"/>
      <c r="U2" s="567"/>
      <c r="V2" s="567"/>
      <c r="W2" s="567"/>
      <c r="X2" s="567"/>
      <c r="Y2" s="567"/>
      <c r="Z2" s="567"/>
      <c r="AA2" s="567"/>
      <c r="AB2" s="568"/>
      <c r="AC2" s="531">
        <v>2026</v>
      </c>
      <c r="AD2" s="567"/>
      <c r="AE2" s="567"/>
      <c r="AF2" s="567"/>
      <c r="AG2" s="567"/>
      <c r="AH2" s="567"/>
      <c r="AI2" s="567"/>
      <c r="AJ2" s="567"/>
      <c r="AK2" s="567"/>
      <c r="AL2" s="567"/>
      <c r="AM2" s="567"/>
      <c r="AN2" s="568"/>
      <c r="AO2" s="530">
        <v>46388</v>
      </c>
      <c r="AP2" s="567"/>
      <c r="AQ2" s="567"/>
      <c r="AR2" s="567"/>
      <c r="AS2" s="567"/>
      <c r="AT2" s="567"/>
      <c r="AU2" s="567"/>
      <c r="AV2" s="567"/>
      <c r="AW2" s="567"/>
      <c r="AX2" s="567"/>
      <c r="AY2" s="567"/>
      <c r="AZ2" s="568"/>
      <c r="BA2" s="530">
        <v>46753</v>
      </c>
      <c r="BB2" s="567"/>
      <c r="BC2" s="567"/>
      <c r="BD2" s="567"/>
      <c r="BE2" s="567"/>
      <c r="BF2" s="567"/>
      <c r="BG2" s="567"/>
      <c r="BH2" s="567"/>
      <c r="BI2" s="567"/>
      <c r="BJ2" s="567"/>
      <c r="BK2" s="567"/>
      <c r="BL2" s="568"/>
      <c r="BM2" s="530">
        <v>47119</v>
      </c>
      <c r="BN2" s="567"/>
      <c r="BO2" s="567"/>
      <c r="BP2" s="567"/>
      <c r="BQ2" s="567"/>
      <c r="BR2" s="567"/>
      <c r="BS2" s="567"/>
      <c r="BT2" s="567"/>
      <c r="BU2" s="567"/>
      <c r="BV2" s="567"/>
      <c r="BW2" s="567"/>
      <c r="BX2" s="568"/>
      <c r="BY2" s="532" t="s">
        <v>175</v>
      </c>
      <c r="BZ2" s="564"/>
      <c r="CA2" s="229"/>
      <c r="CB2" s="229"/>
      <c r="CC2" s="229"/>
      <c r="CD2" s="229"/>
      <c r="CE2" s="229"/>
    </row>
    <row r="3" spans="2:83">
      <c r="B3" s="559"/>
      <c r="C3" s="564"/>
      <c r="D3" s="495"/>
      <c r="E3" s="233" t="str">
        <f>IFERROR(VLOOKUP(TEXT(E4,"mm.yyyy"),HMG!$B$2:$C$1001, 2, FALSE),"")</f>
        <v>zapis KS</v>
      </c>
      <c r="F3" s="233" t="str">
        <f>IFERROR(VLOOKUP(TEXT(F4,"mm.yyyy"),HMG!$B$2:$C$1001, 2, FALSE),"")</f>
        <v/>
      </c>
      <c r="G3" s="233" t="str">
        <f>IFERROR(VLOOKUP(TEXT(G4,"mm.yyyy"),HMG!$B$2:$C$1001, 2, FALSE),"")</f>
        <v/>
      </c>
      <c r="H3" s="233" t="str">
        <f>IFERROR(VLOOKUP(TEXT(H4,"mm.yyyy"),HMG!$B$2:$C$1001, 2, FALSE),"")</f>
        <v/>
      </c>
      <c r="I3" s="233" t="str">
        <f>IFERROR(VLOOKUP(TEXT(I4,"mm.yyyy"),HMG!$B$2:$C$1001, 2, FALSE),"")</f>
        <v/>
      </c>
      <c r="J3" s="233" t="str">
        <f>IFERROR(VLOOKUP(TEXT(J4,"mm.yyyy"),HMG!$B$2:$C$1001, 2, FALSE),"")</f>
        <v/>
      </c>
      <c r="K3" s="233" t="str">
        <f>IFERROR(VLOOKUP(TEXT(K4,"mm.yyyy"),HMG!$B$2:$C$1001, 2, FALSE),"")</f>
        <v/>
      </c>
      <c r="L3" s="233" t="str">
        <f>IFERROR(VLOOKUP(TEXT(L4,"mm.yyyy"),HMG!$B$2:$C$1001, 2, FALSE),"")</f>
        <v/>
      </c>
      <c r="M3" s="233" t="str">
        <f>IFERROR(VLOOKUP(TEXT(M4,"mm.yyyy"),HMG!$B$2:$C$1001, 2, FALSE),"")</f>
        <v/>
      </c>
      <c r="N3" s="233" t="str">
        <f>IFERROR(VLOOKUP(TEXT(N4,"mm.yyyy"),HMG!$B$2:$C$1001, 2, FALSE),"")</f>
        <v/>
      </c>
      <c r="O3" s="233" t="str">
        <f>IFERROR(VLOOKUP(TEXT(O4,"mm.yyyy"),HMG!$B$2:$C$1001, 2, FALSE),"")</f>
        <v/>
      </c>
      <c r="P3" s="233" t="str">
        <f>IFERROR(VLOOKUP(TEXT(P4,"mm.yyyy"),HMG!$B$2:$C$1001, 2, FALSE),"")</f>
        <v/>
      </c>
      <c r="Q3" s="233" t="str">
        <f>IFERROR(VLOOKUP(TEXT(Q4,"mm.yyyy"),HMG!$B$2:$C$1001, 2, FALSE),"")</f>
        <v>zapis KS</v>
      </c>
      <c r="R3" s="233" t="str">
        <f>IFERROR(VLOOKUP(TEXT(R4,"mm.yyyy"),HMG!$B$2:$C$1001, 2, FALSE),"")</f>
        <v/>
      </c>
      <c r="S3" s="233" t="str">
        <f>IFERROR(VLOOKUP(TEXT(S4,"mm.yyyy"),HMG!$B$2:$C$1001, 2, FALSE),"")</f>
        <v/>
      </c>
      <c r="T3" s="233" t="str">
        <f>IFERROR(VLOOKUP(TEXT(T4,"mm.yyyy"),HMG!$B$2:$C$1001, 2, FALSE),"")</f>
        <v/>
      </c>
      <c r="U3" s="233" t="str">
        <f>IFERROR(VLOOKUP(TEXT(U4,"mm.yyyy"),HMG!$B$2:$C$1001, 2, FALSE),"")</f>
        <v/>
      </c>
      <c r="V3" s="233" t="str">
        <f>IFERROR(VLOOKUP(TEXT(V4,"mm.yyyy"),HMG!$B$2:$C$1001, 2, FALSE),"")</f>
        <v/>
      </c>
      <c r="W3" s="233" t="str">
        <f>IFERROR(VLOOKUP(TEXT(W4,"mm.yyyy"),HMG!$B$2:$C$1001, 2, FALSE),"")</f>
        <v/>
      </c>
      <c r="X3" s="233" t="str">
        <f>IFERROR(VLOOKUP(TEXT(X4,"mm.yyyy"),HMG!$B$2:$C$1001, 2, FALSE),"")</f>
        <v/>
      </c>
      <c r="Y3" s="233" t="str">
        <f>IFERROR(VLOOKUP(TEXT(Y4,"mm.yyyy"),HMG!$B$2:$C$1001, 2, FALSE),"")</f>
        <v/>
      </c>
      <c r="Z3" s="233" t="str">
        <f>IFERROR(VLOOKUP(TEXT(Z4,"mm.yyyy"),HMG!$B$2:$C$1001, 2, FALSE),"")</f>
        <v/>
      </c>
      <c r="AA3" s="233" t="str">
        <f>IFERROR(VLOOKUP(TEXT(AA4,"mm.yyyy"),HMG!$B$2:$C$1001, 2, FALSE),"")</f>
        <v/>
      </c>
      <c r="AB3" s="233" t="str">
        <f>IFERROR(VLOOKUP(TEXT(AB4,"mm.yyyy"),HMG!$B$2:$C$1001, 2, FALSE),"")</f>
        <v/>
      </c>
      <c r="AC3" s="233" t="str">
        <f>IFERROR(VLOOKUP(TEXT(AC4,"mm.yyyy"),HMG!$B$2:$C$1001, 2, FALSE),"")</f>
        <v>zapis KS</v>
      </c>
      <c r="AD3" s="233" t="str">
        <f>IFERROR(VLOOKUP(TEXT(AD4,"mm.yyyy"),HMG!$B$2:$C$1001, 2, FALSE),"")</f>
        <v/>
      </c>
      <c r="AE3" s="233" t="str">
        <f>IFERROR(VLOOKUP(TEXT(AE4,"mm.yyyy"),HMG!$B$2:$C$1001, 2, FALSE),"")</f>
        <v/>
      </c>
      <c r="AF3" s="233" t="str">
        <f>IFERROR(VLOOKUP(TEXT(AF4,"mm.yyyy"),HMG!$B$2:$C$1001, 2, FALSE),"")</f>
        <v/>
      </c>
      <c r="AG3" s="233" t="str">
        <f>IFERROR(VLOOKUP(TEXT(AG4,"mm.yyyy"),HMG!$B$2:$C$1001, 2, FALSE),"")</f>
        <v/>
      </c>
      <c r="AH3" s="233" t="str">
        <f>IFERROR(VLOOKUP(TEXT(AH4,"mm.yyyy"),HMG!$B$2:$C$1001, 2, FALSE),"")</f>
        <v/>
      </c>
      <c r="AI3" s="233" t="str">
        <f>IFERROR(VLOOKUP(TEXT(AI4,"mm.yyyy"),HMG!$B$2:$C$1001, 2, FALSE),"")</f>
        <v/>
      </c>
      <c r="AJ3" s="233" t="str">
        <f>IFERROR(VLOOKUP(TEXT(AJ4,"mm.yyyy"),HMG!$B$2:$C$1001, 2, FALSE),"")</f>
        <v/>
      </c>
      <c r="AK3" s="233" t="str">
        <f>IFERROR(VLOOKUP(TEXT(AK4,"mm.yyyy"),HMG!$B$2:$C$1001, 2, FALSE),"")</f>
        <v/>
      </c>
      <c r="AL3" s="233" t="str">
        <f>IFERROR(VLOOKUP(TEXT(AL4,"mm.yyyy"),HMG!$B$2:$C$1001, 2, FALSE),"")</f>
        <v/>
      </c>
      <c r="AM3" s="233" t="str">
        <f>IFERROR(VLOOKUP(TEXT(AM4,"mm.yyyy"),HMG!$B$2:$C$1001, 2, FALSE),"")</f>
        <v/>
      </c>
      <c r="AN3" s="233" t="str">
        <f>IFERROR(VLOOKUP(TEXT(AN4,"mm.yyyy"),HMG!$B$2:$C$1001, 2, FALSE),"")</f>
        <v/>
      </c>
      <c r="AO3" s="233" t="str">
        <f>IFERROR(VLOOKUP(TEXT(AO4,"mm.yyyy"),HMG!$B$2:$C$1001, 2, FALSE),"")</f>
        <v>zapis KS</v>
      </c>
      <c r="AP3" s="233" t="str">
        <f>IFERROR(VLOOKUP(TEXT(AP4,"mm.yyyy"),HMG!$B$2:$C$1001, 2, FALSE),"")</f>
        <v/>
      </c>
      <c r="AQ3" s="233" t="str">
        <f>IFERROR(VLOOKUP(TEXT(AQ4,"mm.yyyy"),HMG!$B$2:$C$1001, 2, FALSE),"")</f>
        <v/>
      </c>
      <c r="AR3" s="233" t="str">
        <f>IFERROR(VLOOKUP(TEXT(AR4,"mm.yyyy"),HMG!$B$2:$C$1001, 2, FALSE),"")</f>
        <v/>
      </c>
      <c r="AS3" s="233" t="str">
        <f>IFERROR(VLOOKUP(TEXT(AS4,"mm.yyyy"),HMG!$B$2:$C$1001, 2, FALSE),"")</f>
        <v/>
      </c>
      <c r="AT3" s="233" t="str">
        <f>IFERROR(VLOOKUP(TEXT(AT4,"mm.yyyy"),HMG!$B$2:$C$1001, 2, FALSE),"")</f>
        <v/>
      </c>
      <c r="AU3" s="233" t="str">
        <f>IFERROR(VLOOKUP(TEXT(AU4,"mm.yyyy"),HMG!$B$2:$C$1001, 2, FALSE),"")</f>
        <v/>
      </c>
      <c r="AV3" s="233" t="str">
        <f>IFERROR(VLOOKUP(TEXT(AV4,"mm.yyyy"),HMG!$B$2:$C$1001, 2, FALSE),"")</f>
        <v/>
      </c>
      <c r="AW3" s="233" t="str">
        <f>IFERROR(VLOOKUP(TEXT(AW4,"mm.yyyy"),HMG!$B$2:$C$1001, 2, FALSE),"")</f>
        <v/>
      </c>
      <c r="AX3" s="233" t="str">
        <f>IFERROR(VLOOKUP(TEXT(AX4,"mm.yyyy"),HMG!$B$2:$C$1001, 2, FALSE),"")</f>
        <v/>
      </c>
      <c r="AY3" s="233" t="str">
        <f>IFERROR(VLOOKUP(TEXT(AY4,"mm.yyyy"),HMG!$B$2:$C$1001, 2, FALSE),"")</f>
        <v/>
      </c>
      <c r="AZ3" s="233" t="str">
        <f>IFERROR(VLOOKUP(TEXT(AZ4,"mm.yyyy"),HMG!$B$2:$C$1001, 2, FALSE),"")</f>
        <v/>
      </c>
      <c r="BA3" s="233" t="str">
        <f>IFERROR(VLOOKUP(TEXT(BA4,"mm.yyyy"),HMG!$B$2:$C$1001, 2, FALSE),"")</f>
        <v>zapis KS</v>
      </c>
      <c r="BB3" s="233" t="str">
        <f>IFERROR(VLOOKUP(TEXT(BB4,"mm.yyyy"),HMG!$B$2:$C$1001, 2, FALSE),"")</f>
        <v/>
      </c>
      <c r="BC3" s="233" t="str">
        <f>IFERROR(VLOOKUP(TEXT(BC4,"mm.yyyy"),HMG!$B$2:$C$1001, 2, FALSE),"")</f>
        <v/>
      </c>
      <c r="BD3" s="233" t="str">
        <f>IFERROR(VLOOKUP(TEXT(BD4,"mm.yyyy"),HMG!$B$2:$C$1001, 2, FALSE),"")</f>
        <v/>
      </c>
      <c r="BE3" s="233" t="str">
        <f>IFERROR(VLOOKUP(TEXT(BE4,"mm.yyyy"),HMG!$B$2:$C$1001, 2, FALSE),"")</f>
        <v/>
      </c>
      <c r="BF3" s="233" t="str">
        <f>IFERROR(VLOOKUP(TEXT(BF4,"mm.yyyy"),HMG!$B$2:$C$1001, 2, FALSE),"")</f>
        <v/>
      </c>
      <c r="BG3" s="233" t="str">
        <f>IFERROR(VLOOKUP(TEXT(BG4,"mm.yyyy"),HMG!$B$2:$C$1001, 2, FALSE),"")</f>
        <v/>
      </c>
      <c r="BH3" s="233" t="str">
        <f>IFERROR(VLOOKUP(TEXT(BH4,"mm.yyyy"),HMG!$B$2:$C$1001, 2, FALSE),"")</f>
        <v/>
      </c>
      <c r="BI3" s="233" t="str">
        <f>IFERROR(VLOOKUP(TEXT(BI4,"mm.yyyy"),HMG!$B$2:$C$1001, 2, FALSE),"")</f>
        <v/>
      </c>
      <c r="BJ3" s="233" t="str">
        <f>IFERROR(VLOOKUP(TEXT(BJ4,"mm.yyyy"),HMG!$B$2:$C$1001, 2, FALSE),"")</f>
        <v/>
      </c>
      <c r="BK3" s="233" t="str">
        <f>IFERROR(VLOOKUP(TEXT(BK4,"mm.yyyy"),HMG!$B$2:$C$1001, 2, FALSE),"")</f>
        <v/>
      </c>
      <c r="BL3" s="233" t="str">
        <f>IFERROR(VLOOKUP(TEXT(BL4,"mm.yyyy"),HMG!$B$2:$C$1001, 2, FALSE),"")</f>
        <v/>
      </c>
      <c r="BM3" s="233" t="str">
        <f>IFERROR(VLOOKUP(TEXT(BM4,"mm.yyyy"),HMG!$B$2:$C$1001, 2, FALSE),"")</f>
        <v>zapis KS</v>
      </c>
      <c r="BN3" s="233" t="str">
        <f>IFERROR(VLOOKUP(TEXT(BN4,"mm.yyyy"),HMG!$B$2:$C$1001, 2, FALSE),"")</f>
        <v/>
      </c>
      <c r="BO3" s="233" t="str">
        <f>IFERROR(VLOOKUP(TEXT(BO4,"mm.yyyy"),HMG!$B$2:$C$1001, 2, FALSE),"")</f>
        <v/>
      </c>
      <c r="BP3" s="233" t="str">
        <f>IFERROR(VLOOKUP(TEXT(BP4,"mm.yyyy"),HMG!$B$2:$C$1001, 2, FALSE),"")</f>
        <v/>
      </c>
      <c r="BQ3" s="233" t="str">
        <f>IFERROR(VLOOKUP(TEXT(BQ4,"mm.yyyy"),HMG!$B$2:$C$1001, 2, FALSE),"")</f>
        <v/>
      </c>
      <c r="BR3" s="233" t="str">
        <f>IFERROR(VLOOKUP(TEXT(BR4,"mm.yyyy"),HMG!$B$2:$C$1001, 2, FALSE),"")</f>
        <v/>
      </c>
      <c r="BS3" s="233" t="str">
        <f>IFERROR(VLOOKUP(TEXT(BS4,"mm.yyyy"),HMG!$B$2:$C$1001, 2, FALSE),"")</f>
        <v/>
      </c>
      <c r="BT3" s="233" t="str">
        <f>IFERROR(VLOOKUP(TEXT(BT4,"mm.yyyy"),HMG!$B$2:$C$1001, 2, FALSE),"")</f>
        <v/>
      </c>
      <c r="BU3" s="233" t="str">
        <f>IFERROR(VLOOKUP(TEXT(BU4,"mm.yyyy"),HMG!$B$2:$C$1001, 2, FALSE),"")</f>
        <v/>
      </c>
      <c r="BV3" s="233" t="str">
        <f>IFERROR(VLOOKUP(TEXT(BV4,"mm.yyyy"),HMG!$B$2:$C$1001, 2, FALSE),"")</f>
        <v/>
      </c>
      <c r="BW3" s="233" t="str">
        <f>IFERROR(VLOOKUP(TEXT(BW4,"mm.yyyy"),HMG!$B$2:$C$1001, 2, FALSE),"")</f>
        <v/>
      </c>
      <c r="BX3" s="233" t="str">
        <f>IFERROR(VLOOKUP(TEXT(BX4,"mm.yyyy"),HMG!$B$2:$C$1001, 2, FALSE),"")</f>
        <v/>
      </c>
      <c r="BY3" s="559"/>
      <c r="BZ3" s="564"/>
      <c r="CA3" s="229"/>
      <c r="CB3" s="229"/>
      <c r="CC3" s="229"/>
      <c r="CD3" s="229" t="s">
        <v>176</v>
      </c>
      <c r="CE3" s="229" t="s">
        <v>177</v>
      </c>
    </row>
    <row r="4" spans="2:83">
      <c r="B4" s="562"/>
      <c r="C4" s="563"/>
      <c r="D4" s="496"/>
      <c r="E4" s="234">
        <v>45292</v>
      </c>
      <c r="F4" s="234">
        <v>45323</v>
      </c>
      <c r="G4" s="234">
        <v>45352</v>
      </c>
      <c r="H4" s="234">
        <v>45383</v>
      </c>
      <c r="I4" s="234">
        <v>45413</v>
      </c>
      <c r="J4" s="234">
        <v>45444</v>
      </c>
      <c r="K4" s="234">
        <v>45474</v>
      </c>
      <c r="L4" s="234">
        <v>45505</v>
      </c>
      <c r="M4" s="234">
        <v>45536</v>
      </c>
      <c r="N4" s="234">
        <v>45566</v>
      </c>
      <c r="O4" s="234">
        <v>45597</v>
      </c>
      <c r="P4" s="234">
        <v>45627</v>
      </c>
      <c r="Q4" s="234">
        <v>45658</v>
      </c>
      <c r="R4" s="234">
        <v>45689</v>
      </c>
      <c r="S4" s="234">
        <v>45717</v>
      </c>
      <c r="T4" s="234">
        <v>45748</v>
      </c>
      <c r="U4" s="234">
        <v>45778</v>
      </c>
      <c r="V4" s="234">
        <v>45809</v>
      </c>
      <c r="W4" s="234">
        <v>45839</v>
      </c>
      <c r="X4" s="234">
        <v>45870</v>
      </c>
      <c r="Y4" s="234">
        <v>45901</v>
      </c>
      <c r="Z4" s="234">
        <v>45931</v>
      </c>
      <c r="AA4" s="234">
        <v>45962</v>
      </c>
      <c r="AB4" s="234">
        <v>45992</v>
      </c>
      <c r="AC4" s="234">
        <v>46023</v>
      </c>
      <c r="AD4" s="234">
        <v>46054</v>
      </c>
      <c r="AE4" s="234">
        <v>46082</v>
      </c>
      <c r="AF4" s="234">
        <v>46113</v>
      </c>
      <c r="AG4" s="234">
        <v>46143</v>
      </c>
      <c r="AH4" s="234">
        <v>46174</v>
      </c>
      <c r="AI4" s="234">
        <v>46204</v>
      </c>
      <c r="AJ4" s="234">
        <v>46235</v>
      </c>
      <c r="AK4" s="234">
        <v>46266</v>
      </c>
      <c r="AL4" s="234">
        <v>46296</v>
      </c>
      <c r="AM4" s="234">
        <v>46327</v>
      </c>
      <c r="AN4" s="234">
        <v>46357</v>
      </c>
      <c r="AO4" s="234">
        <v>46388</v>
      </c>
      <c r="AP4" s="234">
        <v>46419</v>
      </c>
      <c r="AQ4" s="234">
        <v>46447</v>
      </c>
      <c r="AR4" s="234">
        <v>46478</v>
      </c>
      <c r="AS4" s="234">
        <v>46508</v>
      </c>
      <c r="AT4" s="234">
        <v>46539</v>
      </c>
      <c r="AU4" s="234">
        <v>46569</v>
      </c>
      <c r="AV4" s="234">
        <v>46600</v>
      </c>
      <c r="AW4" s="234">
        <v>46631</v>
      </c>
      <c r="AX4" s="234">
        <v>46661</v>
      </c>
      <c r="AY4" s="234">
        <v>46692</v>
      </c>
      <c r="AZ4" s="234">
        <v>46722</v>
      </c>
      <c r="BA4" s="234">
        <v>46753</v>
      </c>
      <c r="BB4" s="234">
        <v>46784</v>
      </c>
      <c r="BC4" s="234">
        <v>46813</v>
      </c>
      <c r="BD4" s="234">
        <v>46844</v>
      </c>
      <c r="BE4" s="234">
        <v>46874</v>
      </c>
      <c r="BF4" s="234">
        <v>46905</v>
      </c>
      <c r="BG4" s="234">
        <v>46935</v>
      </c>
      <c r="BH4" s="234">
        <v>46966</v>
      </c>
      <c r="BI4" s="234">
        <v>46997</v>
      </c>
      <c r="BJ4" s="234">
        <v>47027</v>
      </c>
      <c r="BK4" s="234">
        <v>47058</v>
      </c>
      <c r="BL4" s="234">
        <v>47088</v>
      </c>
      <c r="BM4" s="234">
        <v>47119</v>
      </c>
      <c r="BN4" s="234">
        <v>47150</v>
      </c>
      <c r="BO4" s="234">
        <v>47178</v>
      </c>
      <c r="BP4" s="234">
        <v>47209</v>
      </c>
      <c r="BQ4" s="234">
        <v>47239</v>
      </c>
      <c r="BR4" s="234">
        <v>47270</v>
      </c>
      <c r="BS4" s="234">
        <v>47300</v>
      </c>
      <c r="BT4" s="234">
        <v>47331</v>
      </c>
      <c r="BU4" s="234">
        <v>47362</v>
      </c>
      <c r="BV4" s="234">
        <v>47392</v>
      </c>
      <c r="BW4" s="234">
        <v>47423</v>
      </c>
      <c r="BX4" s="234">
        <v>47453</v>
      </c>
      <c r="BY4" s="562"/>
      <c r="BZ4" s="563"/>
      <c r="CA4" s="229"/>
      <c r="CB4" s="229"/>
      <c r="CC4" s="229"/>
      <c r="CD4" s="229" t="s">
        <v>158</v>
      </c>
      <c r="CE4" s="229"/>
    </row>
    <row r="5" spans="2:83">
      <c r="B5" s="546" t="s">
        <v>178</v>
      </c>
      <c r="C5" s="235" t="s">
        <v>179</v>
      </c>
      <c r="D5" s="236" t="s">
        <v>180</v>
      </c>
      <c r="E5" s="237"/>
      <c r="F5" s="238"/>
      <c r="G5" s="238"/>
      <c r="H5" s="238"/>
      <c r="I5" s="238">
        <v>87324</v>
      </c>
      <c r="J5" s="238">
        <v>100000</v>
      </c>
      <c r="K5" s="238">
        <f>-3400000</f>
        <v>-3400000</v>
      </c>
      <c r="L5" s="238">
        <f>150000+4850000+1000+23500</f>
        <v>5024500</v>
      </c>
      <c r="M5" s="238">
        <v>1000</v>
      </c>
      <c r="N5" s="238">
        <v>80000</v>
      </c>
      <c r="O5" s="238"/>
      <c r="P5" s="238">
        <v>1050000</v>
      </c>
      <c r="Q5" s="238"/>
      <c r="R5" s="238"/>
      <c r="S5" s="238">
        <f>280000</f>
        <v>280000</v>
      </c>
      <c r="T5" s="238"/>
      <c r="U5" s="238">
        <f>1300000+10250000</f>
        <v>11550000</v>
      </c>
      <c r="V5" s="238"/>
      <c r="W5" s="238"/>
      <c r="X5" s="238"/>
      <c r="Y5" s="238">
        <v>500000</v>
      </c>
      <c r="Z5" s="238">
        <v>3500000</v>
      </c>
      <c r="AA5" s="238">
        <v>4000000</v>
      </c>
      <c r="AB5" s="238">
        <v>3500000</v>
      </c>
      <c r="AC5" s="238"/>
      <c r="AD5" s="238"/>
      <c r="AE5" s="238"/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9"/>
      <c r="BY5" s="240">
        <f t="shared" ref="BY5:BY16" si="0">SUM(E5:BX5)</f>
        <v>26272824</v>
      </c>
      <c r="BZ5" s="533">
        <f>SUM(BY5:BY8)</f>
        <v>52545648</v>
      </c>
      <c r="CA5" s="229"/>
      <c r="CB5" s="229"/>
      <c r="CC5" s="229"/>
      <c r="CD5" s="240">
        <f t="shared" ref="CD5:CD14" si="1">SUM(H5:CC5)</f>
        <v>105091296</v>
      </c>
      <c r="CE5" s="533">
        <f>SUM(CD5:CD8)</f>
        <v>157636944</v>
      </c>
    </row>
    <row r="6" spans="2:83">
      <c r="B6" s="569"/>
      <c r="C6" s="241" t="s">
        <v>181</v>
      </c>
      <c r="D6" s="236" t="s">
        <v>180</v>
      </c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>
        <f>O5+SUM($I$5:N5)+488176</f>
        <v>2381000</v>
      </c>
      <c r="P6" s="238">
        <f>P5-488176</f>
        <v>561824</v>
      </c>
      <c r="Q6" s="238">
        <f t="shared" ref="Q6:AH6" si="2">Q5</f>
        <v>0</v>
      </c>
      <c r="R6" s="238">
        <f t="shared" si="2"/>
        <v>0</v>
      </c>
      <c r="S6" s="238">
        <f t="shared" si="2"/>
        <v>280000</v>
      </c>
      <c r="T6" s="238">
        <f t="shared" si="2"/>
        <v>0</v>
      </c>
      <c r="U6" s="238">
        <f t="shared" si="2"/>
        <v>11550000</v>
      </c>
      <c r="V6" s="238">
        <f t="shared" si="2"/>
        <v>0</v>
      </c>
      <c r="W6" s="238">
        <f t="shared" si="2"/>
        <v>0</v>
      </c>
      <c r="X6" s="238">
        <f t="shared" si="2"/>
        <v>0</v>
      </c>
      <c r="Y6" s="238">
        <f t="shared" si="2"/>
        <v>500000</v>
      </c>
      <c r="Z6" s="238">
        <f t="shared" si="2"/>
        <v>3500000</v>
      </c>
      <c r="AA6" s="238">
        <f t="shared" si="2"/>
        <v>4000000</v>
      </c>
      <c r="AB6" s="238">
        <f t="shared" si="2"/>
        <v>3500000</v>
      </c>
      <c r="AC6" s="238">
        <f t="shared" si="2"/>
        <v>0</v>
      </c>
      <c r="AD6" s="238">
        <f t="shared" si="2"/>
        <v>0</v>
      </c>
      <c r="AE6" s="238">
        <f t="shared" si="2"/>
        <v>0</v>
      </c>
      <c r="AF6" s="238">
        <f t="shared" si="2"/>
        <v>0</v>
      </c>
      <c r="AG6" s="238">
        <f t="shared" si="2"/>
        <v>0</v>
      </c>
      <c r="AH6" s="238">
        <f t="shared" si="2"/>
        <v>0</v>
      </c>
      <c r="AI6" s="238"/>
      <c r="AJ6" s="238"/>
      <c r="AK6" s="238"/>
      <c r="AL6" s="238"/>
      <c r="AM6" s="238"/>
      <c r="AN6" s="238"/>
      <c r="AO6" s="238"/>
      <c r="AP6" s="238"/>
      <c r="AQ6" s="238"/>
      <c r="AR6" s="238"/>
      <c r="AS6" s="238"/>
      <c r="AT6" s="238"/>
      <c r="AU6" s="238"/>
      <c r="AV6" s="238"/>
      <c r="AW6" s="238"/>
      <c r="AX6" s="238"/>
      <c r="AY6" s="238"/>
      <c r="AZ6" s="238"/>
      <c r="BA6" s="238"/>
      <c r="BB6" s="238"/>
      <c r="BC6" s="238"/>
      <c r="BD6" s="238"/>
      <c r="BE6" s="238"/>
      <c r="BF6" s="238"/>
      <c r="BG6" s="238"/>
      <c r="BH6" s="238"/>
      <c r="BI6" s="238"/>
      <c r="BJ6" s="238"/>
      <c r="BK6" s="238"/>
      <c r="BL6" s="238"/>
      <c r="BM6" s="238"/>
      <c r="BN6" s="238"/>
      <c r="BO6" s="238"/>
      <c r="BP6" s="238"/>
      <c r="BQ6" s="238"/>
      <c r="BR6" s="238"/>
      <c r="BS6" s="238"/>
      <c r="BT6" s="238"/>
      <c r="BU6" s="238"/>
      <c r="BV6" s="238"/>
      <c r="BW6" s="238"/>
      <c r="BX6" s="235"/>
      <c r="BY6" s="240">
        <f t="shared" si="0"/>
        <v>26272824</v>
      </c>
      <c r="BZ6" s="564"/>
      <c r="CA6" s="229"/>
      <c r="CB6" s="229"/>
      <c r="CC6" s="229"/>
      <c r="CD6" s="240">
        <f t="shared" si="1"/>
        <v>52545648</v>
      </c>
      <c r="CE6" s="564"/>
    </row>
    <row r="7" spans="2:83">
      <c r="B7" s="569"/>
      <c r="C7" s="241" t="s">
        <v>182</v>
      </c>
      <c r="D7" s="236" t="s">
        <v>180</v>
      </c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  <c r="T7" s="238"/>
      <c r="U7" s="238"/>
      <c r="V7" s="238"/>
      <c r="W7" s="238"/>
      <c r="X7" s="238"/>
      <c r="Y7" s="238"/>
      <c r="Z7" s="238"/>
      <c r="AA7" s="238"/>
      <c r="AB7" s="238"/>
      <c r="AC7" s="238"/>
      <c r="AD7" s="238"/>
      <c r="AE7" s="238"/>
      <c r="AF7" s="238"/>
      <c r="AG7" s="238"/>
      <c r="AH7" s="238"/>
      <c r="AI7" s="238"/>
      <c r="AJ7" s="238"/>
      <c r="AK7" s="238"/>
      <c r="AL7" s="238"/>
      <c r="AM7" s="238"/>
      <c r="AN7" s="238"/>
      <c r="AO7" s="238"/>
      <c r="AP7" s="238"/>
      <c r="AQ7" s="238"/>
      <c r="AR7" s="238"/>
      <c r="AS7" s="238"/>
      <c r="AT7" s="238"/>
      <c r="AU7" s="238"/>
      <c r="AV7" s="238"/>
      <c r="AW7" s="238"/>
      <c r="AX7" s="238"/>
      <c r="AY7" s="238"/>
      <c r="AZ7" s="238"/>
      <c r="BA7" s="238"/>
      <c r="BB7" s="238"/>
      <c r="BC7" s="238"/>
      <c r="BD7" s="238"/>
      <c r="BE7" s="238"/>
      <c r="BF7" s="238"/>
      <c r="BG7" s="238"/>
      <c r="BH7" s="238"/>
      <c r="BI7" s="238"/>
      <c r="BJ7" s="238"/>
      <c r="BK7" s="238"/>
      <c r="BL7" s="238"/>
      <c r="BM7" s="238"/>
      <c r="BN7" s="238"/>
      <c r="BO7" s="238"/>
      <c r="BP7" s="238"/>
      <c r="BQ7" s="238"/>
      <c r="BR7" s="238"/>
      <c r="BS7" s="238"/>
      <c r="BT7" s="238"/>
      <c r="BU7" s="238"/>
      <c r="BV7" s="238"/>
      <c r="BW7" s="238"/>
      <c r="BX7" s="235"/>
      <c r="BY7" s="240">
        <f t="shared" si="0"/>
        <v>0</v>
      </c>
      <c r="BZ7" s="564"/>
      <c r="CA7" s="229"/>
      <c r="CB7" s="229"/>
      <c r="CC7" s="229"/>
      <c r="CD7" s="240">
        <f t="shared" si="1"/>
        <v>0</v>
      </c>
      <c r="CE7" s="564"/>
    </row>
    <row r="8" spans="2:83">
      <c r="B8" s="570"/>
      <c r="C8" s="241" t="s">
        <v>183</v>
      </c>
      <c r="D8" s="242" t="s">
        <v>180</v>
      </c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1"/>
      <c r="BY8" s="244">
        <f t="shared" si="0"/>
        <v>0</v>
      </c>
      <c r="BZ8" s="563"/>
      <c r="CA8" s="229"/>
      <c r="CB8" s="229"/>
      <c r="CC8" s="229"/>
      <c r="CD8" s="244">
        <f t="shared" si="1"/>
        <v>0</v>
      </c>
      <c r="CE8" s="563"/>
    </row>
    <row r="9" spans="2:83">
      <c r="B9" s="546" t="s">
        <v>184</v>
      </c>
      <c r="C9" s="239" t="s">
        <v>185</v>
      </c>
      <c r="D9" s="236" t="s">
        <v>180</v>
      </c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9"/>
      <c r="BY9" s="240">
        <f t="shared" si="0"/>
        <v>0</v>
      </c>
      <c r="BZ9" s="533">
        <f>SUM(BY9:BY11)</f>
        <v>56291929.962936126</v>
      </c>
      <c r="CA9" s="229">
        <f>BZ5+BZ9</f>
        <v>108837577.96293613</v>
      </c>
      <c r="CB9" s="229"/>
      <c r="CC9" s="229"/>
      <c r="CD9" s="240">
        <f t="shared" si="1"/>
        <v>165129507.92587227</v>
      </c>
      <c r="CE9" s="533">
        <f>SUM(CD9:CD11)</f>
        <v>277713368.33453411</v>
      </c>
    </row>
    <row r="10" spans="2:83">
      <c r="B10" s="569"/>
      <c r="C10" s="239" t="s">
        <v>186</v>
      </c>
      <c r="D10" s="236" t="s">
        <v>180</v>
      </c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  <c r="Y10" s="238"/>
      <c r="Z10" s="238"/>
      <c r="AA10" s="238"/>
      <c r="AB10" s="238"/>
      <c r="AC10" s="238"/>
      <c r="AD10" s="238"/>
      <c r="AE10" s="238"/>
      <c r="AF10" s="238"/>
      <c r="AG10" s="238"/>
      <c r="AH10" s="238"/>
      <c r="AI10" s="238"/>
      <c r="AJ10" s="238"/>
      <c r="AK10" s="238"/>
      <c r="AL10" s="238"/>
      <c r="AM10" s="238"/>
      <c r="AN10" s="238"/>
      <c r="AO10" s="238"/>
      <c r="AP10" s="238"/>
      <c r="AQ10" s="238"/>
      <c r="AR10" s="238"/>
      <c r="AS10" s="238"/>
      <c r="AT10" s="238"/>
      <c r="AU10" s="238"/>
      <c r="AV10" s="238"/>
      <c r="AW10" s="238"/>
      <c r="AX10" s="238"/>
      <c r="AY10" s="238"/>
      <c r="AZ10" s="238"/>
      <c r="BA10" s="238"/>
      <c r="BB10" s="238"/>
      <c r="BC10" s="238"/>
      <c r="BD10" s="238"/>
      <c r="BE10" s="238"/>
      <c r="BF10" s="238"/>
      <c r="BG10" s="238"/>
      <c r="BH10" s="238"/>
      <c r="BI10" s="238"/>
      <c r="BJ10" s="238"/>
      <c r="BK10" s="238"/>
      <c r="BL10" s="238"/>
      <c r="BM10" s="238"/>
      <c r="BN10" s="238"/>
      <c r="BO10" s="238"/>
      <c r="BP10" s="238"/>
      <c r="BQ10" s="238"/>
      <c r="BR10" s="238"/>
      <c r="BS10" s="238"/>
      <c r="BT10" s="238"/>
      <c r="BU10" s="238"/>
      <c r="BV10" s="238"/>
      <c r="BW10" s="238"/>
      <c r="BX10" s="235"/>
      <c r="BY10" s="240">
        <f t="shared" si="0"/>
        <v>0</v>
      </c>
      <c r="BZ10" s="564"/>
      <c r="CA10" s="229"/>
      <c r="CB10" s="229"/>
      <c r="CC10" s="229"/>
      <c r="CD10" s="240">
        <f t="shared" si="1"/>
        <v>0</v>
      </c>
      <c r="CE10" s="564"/>
    </row>
    <row r="11" spans="2:83">
      <c r="B11" s="568"/>
      <c r="C11" s="241" t="s">
        <v>187</v>
      </c>
      <c r="D11" s="242" t="s">
        <v>180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>
        <f t="shared" ref="AC11:AG11" si="3">(-AC27-AC35-AC38)</f>
        <v>6901351.4803864732</v>
      </c>
      <c r="AD11" s="243">
        <f t="shared" si="3"/>
        <v>8802851.4803864732</v>
      </c>
      <c r="AE11" s="243">
        <f t="shared" si="3"/>
        <v>9512529.7303864732</v>
      </c>
      <c r="AF11" s="243">
        <f t="shared" si="3"/>
        <v>8802851.4803864732</v>
      </c>
      <c r="AG11" s="243">
        <f t="shared" si="3"/>
        <v>8802851.4803864732</v>
      </c>
      <c r="AH11" s="243">
        <f>Businessplan_prodej!$D$88-SUM(Z11:AG11)</f>
        <v>13469494.31100376</v>
      </c>
      <c r="AI11" s="243"/>
      <c r="AJ11" s="243"/>
      <c r="AK11" s="243"/>
      <c r="AL11" s="243"/>
      <c r="AM11" s="243"/>
      <c r="AN11" s="243"/>
      <c r="AO11" s="245"/>
      <c r="AP11" s="243"/>
      <c r="AQ11" s="243"/>
      <c r="AR11" s="243"/>
      <c r="AS11" s="243"/>
      <c r="AT11" s="243"/>
      <c r="AU11" s="243"/>
      <c r="AV11" s="243"/>
      <c r="AW11" s="243"/>
      <c r="AX11" s="243"/>
      <c r="AY11" s="243"/>
      <c r="AZ11" s="243"/>
      <c r="BA11" s="243"/>
      <c r="BB11" s="243"/>
      <c r="BC11" s="243"/>
      <c r="BD11" s="243"/>
      <c r="BE11" s="243"/>
      <c r="BF11" s="243"/>
      <c r="BG11" s="243"/>
      <c r="BH11" s="243"/>
      <c r="BI11" s="243"/>
      <c r="BJ11" s="243"/>
      <c r="BK11" s="243"/>
      <c r="BL11" s="243"/>
      <c r="BM11" s="243"/>
      <c r="BN11" s="243"/>
      <c r="BO11" s="243"/>
      <c r="BP11" s="243"/>
      <c r="BQ11" s="243"/>
      <c r="BR11" s="243"/>
      <c r="BS11" s="243"/>
      <c r="BT11" s="243"/>
      <c r="BU11" s="243"/>
      <c r="BV11" s="243"/>
      <c r="BW11" s="243"/>
      <c r="BX11" s="241"/>
      <c r="BY11" s="244">
        <f t="shared" si="0"/>
        <v>56291929.962936126</v>
      </c>
      <c r="BZ11" s="571"/>
      <c r="CA11" s="246">
        <f>SUM(I5:AB8)/CA9</f>
        <v>0.48278957491955626</v>
      </c>
      <c r="CB11" s="246"/>
      <c r="CC11" s="246"/>
      <c r="CD11" s="244">
        <f t="shared" si="1"/>
        <v>112583860.40866183</v>
      </c>
      <c r="CE11" s="571"/>
    </row>
    <row r="12" spans="2:83">
      <c r="B12" s="546" t="s">
        <v>188</v>
      </c>
      <c r="C12" s="235" t="s">
        <v>189</v>
      </c>
      <c r="D12" s="236" t="s">
        <v>180</v>
      </c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237"/>
      <c r="Y12" s="237"/>
      <c r="Z12" s="237"/>
      <c r="AA12" s="237"/>
      <c r="AB12" s="237"/>
      <c r="AC12" s="237"/>
      <c r="AD12" s="237"/>
      <c r="AE12" s="237"/>
      <c r="AF12" s="237"/>
      <c r="AG12" s="247"/>
      <c r="AH12" s="247"/>
      <c r="AI12" s="247">
        <f>Businessplan_prodej!$J$18/12</f>
        <v>709678.25</v>
      </c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9"/>
      <c r="BY12" s="240">
        <f t="shared" si="0"/>
        <v>709678.25</v>
      </c>
      <c r="BZ12" s="533">
        <f>SUM(BY12:BY16)</f>
        <v>138012692.53571427</v>
      </c>
      <c r="CA12" s="248">
        <f>1-CA11</f>
        <v>0.51721042508044368</v>
      </c>
      <c r="CB12" s="229"/>
      <c r="CC12" s="229"/>
      <c r="CD12" s="240">
        <f t="shared" si="1"/>
        <v>139432049.55292469</v>
      </c>
      <c r="CE12" s="533">
        <f>SUM(CD12:CD16)</f>
        <v>411624657.95435321</v>
      </c>
    </row>
    <row r="13" spans="2:83">
      <c r="B13" s="569"/>
      <c r="C13" s="235" t="s">
        <v>190</v>
      </c>
      <c r="D13" s="236" t="s">
        <v>180</v>
      </c>
      <c r="E13" s="237"/>
      <c r="F13" s="237"/>
      <c r="G13" s="237"/>
      <c r="H13" s="237"/>
      <c r="I13" s="237"/>
      <c r="J13" s="237"/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47"/>
      <c r="AH13" s="247"/>
      <c r="AI13" s="247">
        <f>Businessplan_prodej!J30+Businessplan_prodej!N26</f>
        <v>113098414.28571427</v>
      </c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9"/>
      <c r="BY13" s="240">
        <f t="shared" si="0"/>
        <v>113098414.28571427</v>
      </c>
      <c r="BZ13" s="564"/>
      <c r="CA13" s="229"/>
      <c r="CB13" s="229"/>
      <c r="CC13" s="229"/>
      <c r="CD13" s="240">
        <f t="shared" si="1"/>
        <v>226196828.57142854</v>
      </c>
      <c r="CE13" s="564"/>
    </row>
    <row r="14" spans="2:83">
      <c r="B14" s="569"/>
      <c r="C14" s="235" t="s">
        <v>10</v>
      </c>
      <c r="D14" s="236" t="s">
        <v>191</v>
      </c>
      <c r="E14" s="238"/>
      <c r="F14" s="238"/>
      <c r="G14" s="238"/>
      <c r="H14" s="238"/>
      <c r="I14" s="238"/>
      <c r="J14" s="238"/>
      <c r="K14" s="238"/>
      <c r="L14" s="238"/>
      <c r="M14" s="238">
        <f t="shared" ref="M14:AI14" si="4">(+M24+M38)*0.21</f>
        <v>0</v>
      </c>
      <c r="N14" s="238">
        <f t="shared" si="4"/>
        <v>-2436</v>
      </c>
      <c r="O14" s="238">
        <f t="shared" si="4"/>
        <v>-51766.333043478262</v>
      </c>
      <c r="P14" s="238">
        <f t="shared" si="4"/>
        <v>-99995.444347826095</v>
      </c>
      <c r="Q14" s="238">
        <f t="shared" si="4"/>
        <v>-119122.24434782608</v>
      </c>
      <c r="R14" s="238">
        <f t="shared" si="4"/>
        <v>-155710.5443478261</v>
      </c>
      <c r="S14" s="238">
        <f t="shared" si="4"/>
        <v>-99995.444347826095</v>
      </c>
      <c r="T14" s="238">
        <f t="shared" si="4"/>
        <v>-17255.444347826087</v>
      </c>
      <c r="U14" s="238">
        <f t="shared" si="4"/>
        <v>-17255.444347826087</v>
      </c>
      <c r="V14" s="238">
        <f t="shared" si="4"/>
        <v>-241129.77684782611</v>
      </c>
      <c r="W14" s="238">
        <f t="shared" si="4"/>
        <v>-17255.444347826087</v>
      </c>
      <c r="X14" s="238">
        <f t="shared" si="4"/>
        <v>-17255.444347826087</v>
      </c>
      <c r="Y14" s="238">
        <f t="shared" si="4"/>
        <v>-17255.444347826087</v>
      </c>
      <c r="Z14" s="238">
        <f t="shared" si="4"/>
        <v>-17255.444347826087</v>
      </c>
      <c r="AA14" s="238">
        <f t="shared" si="4"/>
        <v>-17255.444347826087</v>
      </c>
      <c r="AB14" s="238">
        <f t="shared" si="4"/>
        <v>-17255.444347826087</v>
      </c>
      <c r="AC14" s="238">
        <f t="shared" si="4"/>
        <v>-17255.444347826087</v>
      </c>
      <c r="AD14" s="238">
        <f t="shared" si="4"/>
        <v>-17255.444347826087</v>
      </c>
      <c r="AE14" s="238">
        <f t="shared" si="4"/>
        <v>-166287.87684782609</v>
      </c>
      <c r="AF14" s="238">
        <f t="shared" si="4"/>
        <v>-17255.444347826087</v>
      </c>
      <c r="AG14" s="238">
        <f t="shared" si="4"/>
        <v>-17255.444347826087</v>
      </c>
      <c r="AH14" s="238">
        <f t="shared" si="4"/>
        <v>-26818.844347826085</v>
      </c>
      <c r="AI14" s="238">
        <f t="shared" si="4"/>
        <v>-36382.244347826083</v>
      </c>
      <c r="AJ14" s="238"/>
      <c r="AK14" s="238"/>
      <c r="AL14" s="238"/>
      <c r="AM14" s="238"/>
      <c r="AN14" s="238"/>
      <c r="AO14" s="238"/>
      <c r="AP14" s="238"/>
      <c r="AQ14" s="238"/>
      <c r="AR14" s="238"/>
      <c r="AS14" s="238"/>
      <c r="AT14" s="238"/>
      <c r="AU14" s="238"/>
      <c r="AV14" s="238"/>
      <c r="AW14" s="238"/>
      <c r="AX14" s="238"/>
      <c r="AY14" s="238"/>
      <c r="AZ14" s="238"/>
      <c r="BA14" s="238"/>
      <c r="BB14" s="238"/>
      <c r="BC14" s="238"/>
      <c r="BD14" s="238"/>
      <c r="BE14" s="238"/>
      <c r="BF14" s="238"/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5"/>
      <c r="BY14" s="240">
        <f t="shared" si="0"/>
        <v>-1206710.0849999997</v>
      </c>
      <c r="BZ14" s="564"/>
      <c r="CA14" s="229"/>
      <c r="CB14" s="229"/>
      <c r="CC14" s="229"/>
      <c r="CD14" s="240">
        <f t="shared" si="1"/>
        <v>-2413420.1699999995</v>
      </c>
      <c r="CE14" s="564"/>
    </row>
    <row r="15" spans="2:83">
      <c r="B15" s="569"/>
      <c r="C15" s="235" t="s">
        <v>10</v>
      </c>
      <c r="D15" s="236" t="s">
        <v>180</v>
      </c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>
        <f t="shared" ref="O15:AH15" si="5">-M14</f>
        <v>0</v>
      </c>
      <c r="P15" s="238">
        <f t="shared" si="5"/>
        <v>2436</v>
      </c>
      <c r="Q15" s="238">
        <f t="shared" si="5"/>
        <v>51766.333043478262</v>
      </c>
      <c r="R15" s="238">
        <f t="shared" si="5"/>
        <v>99995.444347826095</v>
      </c>
      <c r="S15" s="238">
        <f t="shared" si="5"/>
        <v>119122.24434782608</v>
      </c>
      <c r="T15" s="238">
        <f t="shared" si="5"/>
        <v>155710.5443478261</v>
      </c>
      <c r="U15" s="238">
        <f t="shared" si="5"/>
        <v>99995.444347826095</v>
      </c>
      <c r="V15" s="238">
        <f t="shared" si="5"/>
        <v>17255.444347826087</v>
      </c>
      <c r="W15" s="238">
        <f t="shared" si="5"/>
        <v>17255.444347826087</v>
      </c>
      <c r="X15" s="238">
        <f t="shared" si="5"/>
        <v>241129.77684782611</v>
      </c>
      <c r="Y15" s="238">
        <f t="shared" si="5"/>
        <v>17255.444347826087</v>
      </c>
      <c r="Z15" s="238">
        <f t="shared" si="5"/>
        <v>17255.444347826087</v>
      </c>
      <c r="AA15" s="238">
        <f t="shared" si="5"/>
        <v>17255.444347826087</v>
      </c>
      <c r="AB15" s="238">
        <f t="shared" si="5"/>
        <v>17255.444347826087</v>
      </c>
      <c r="AC15" s="238">
        <f t="shared" si="5"/>
        <v>17255.444347826087</v>
      </c>
      <c r="AD15" s="238">
        <f t="shared" si="5"/>
        <v>17255.444347826087</v>
      </c>
      <c r="AE15" s="238">
        <f t="shared" si="5"/>
        <v>17255.444347826087</v>
      </c>
      <c r="AF15" s="238">
        <f t="shared" si="5"/>
        <v>17255.444347826087</v>
      </c>
      <c r="AG15" s="238">
        <f t="shared" si="5"/>
        <v>166287.87684782609</v>
      </c>
      <c r="AH15" s="238">
        <f t="shared" si="5"/>
        <v>17255.444347826087</v>
      </c>
      <c r="AI15" s="238">
        <f>-AG14-AH14-AI14</f>
        <v>80456.533043478252</v>
      </c>
      <c r="AJ15" s="238"/>
      <c r="AK15" s="238"/>
      <c r="AL15" s="238"/>
      <c r="AM15" s="238"/>
      <c r="AN15" s="238"/>
      <c r="AO15" s="238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38"/>
      <c r="BG15" s="238"/>
      <c r="BH15" s="238"/>
      <c r="BI15" s="238"/>
      <c r="BJ15" s="238"/>
      <c r="BK15" s="238"/>
      <c r="BL15" s="238"/>
      <c r="BM15" s="238"/>
      <c r="BN15" s="238"/>
      <c r="BO15" s="238"/>
      <c r="BP15" s="238"/>
      <c r="BQ15" s="238"/>
      <c r="BR15" s="238"/>
      <c r="BS15" s="238"/>
      <c r="BT15" s="238"/>
      <c r="BU15" s="238"/>
      <c r="BV15" s="238"/>
      <c r="BW15" s="238"/>
      <c r="BX15" s="235"/>
      <c r="BY15" s="240">
        <f t="shared" si="0"/>
        <v>1206710.0849999997</v>
      </c>
      <c r="BZ15" s="564"/>
      <c r="CA15" s="229"/>
      <c r="CB15" s="229"/>
      <c r="CC15" s="229"/>
      <c r="CD15" s="249"/>
      <c r="CE15" s="564"/>
    </row>
    <row r="16" spans="2:83">
      <c r="B16" s="568"/>
      <c r="C16" s="241" t="s">
        <v>192</v>
      </c>
      <c r="D16" s="242" t="s">
        <v>193</v>
      </c>
      <c r="E16" s="243"/>
      <c r="F16" s="243"/>
      <c r="G16" s="243"/>
      <c r="H16" s="243"/>
      <c r="I16" s="243"/>
      <c r="J16" s="243"/>
      <c r="K16" s="243">
        <f>3400000</f>
        <v>3400000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>
        <f>11526*2100-$K$16</f>
        <v>20804600</v>
      </c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>
        <f>-Businessplan_prodej!$F$47</f>
        <v>0</v>
      </c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1"/>
      <c r="BY16" s="244">
        <f t="shared" si="0"/>
        <v>24204600</v>
      </c>
      <c r="BZ16" s="571"/>
      <c r="CA16" s="229"/>
      <c r="CB16" s="229"/>
      <c r="CC16" s="229"/>
      <c r="CD16" s="244">
        <f>SUM(H16:CC16)</f>
        <v>48409200</v>
      </c>
      <c r="CE16" s="571"/>
    </row>
    <row r="17" spans="2:83" ht="15.95">
      <c r="B17" s="547" t="s">
        <v>194</v>
      </c>
      <c r="C17" s="563"/>
      <c r="D17" s="250"/>
      <c r="E17" s="251">
        <f t="shared" ref="E17:BX17" si="6">SUM(E5:E16)</f>
        <v>0</v>
      </c>
      <c r="F17" s="251">
        <f t="shared" si="6"/>
        <v>0</v>
      </c>
      <c r="G17" s="251">
        <f t="shared" si="6"/>
        <v>0</v>
      </c>
      <c r="H17" s="251">
        <f t="shared" si="6"/>
        <v>0</v>
      </c>
      <c r="I17" s="251">
        <f t="shared" si="6"/>
        <v>87324</v>
      </c>
      <c r="J17" s="251">
        <f t="shared" si="6"/>
        <v>100000</v>
      </c>
      <c r="K17" s="251">
        <f t="shared" si="6"/>
        <v>0</v>
      </c>
      <c r="L17" s="251">
        <f t="shared" si="6"/>
        <v>5024500</v>
      </c>
      <c r="M17" s="251">
        <f t="shared" si="6"/>
        <v>1000</v>
      </c>
      <c r="N17" s="251">
        <f t="shared" si="6"/>
        <v>77564</v>
      </c>
      <c r="O17" s="251">
        <f t="shared" si="6"/>
        <v>2329233.6669565216</v>
      </c>
      <c r="P17" s="251">
        <f t="shared" si="6"/>
        <v>1514264.5556521739</v>
      </c>
      <c r="Q17" s="251">
        <f t="shared" si="6"/>
        <v>-67355.911304347828</v>
      </c>
      <c r="R17" s="251">
        <f t="shared" si="6"/>
        <v>-55715.100000000006</v>
      </c>
      <c r="S17" s="251">
        <f t="shared" si="6"/>
        <v>579126.80000000005</v>
      </c>
      <c r="T17" s="251">
        <f t="shared" si="6"/>
        <v>138455.1</v>
      </c>
      <c r="U17" s="251">
        <f t="shared" si="6"/>
        <v>43987340</v>
      </c>
      <c r="V17" s="251">
        <f t="shared" si="6"/>
        <v>-223874.33250000002</v>
      </c>
      <c r="W17" s="251">
        <f t="shared" si="6"/>
        <v>0</v>
      </c>
      <c r="X17" s="251">
        <f t="shared" si="6"/>
        <v>223874.33250000002</v>
      </c>
      <c r="Y17" s="251">
        <f t="shared" si="6"/>
        <v>1000000</v>
      </c>
      <c r="Z17" s="251">
        <f t="shared" si="6"/>
        <v>7000000</v>
      </c>
      <c r="AA17" s="251">
        <f t="shared" si="6"/>
        <v>8000000</v>
      </c>
      <c r="AB17" s="251">
        <f t="shared" si="6"/>
        <v>7000000</v>
      </c>
      <c r="AC17" s="251">
        <f t="shared" si="6"/>
        <v>6901351.4803864732</v>
      </c>
      <c r="AD17" s="251">
        <f t="shared" si="6"/>
        <v>8802851.4803864732</v>
      </c>
      <c r="AE17" s="251">
        <f t="shared" si="6"/>
        <v>9363497.2978864741</v>
      </c>
      <c r="AF17" s="251">
        <f t="shared" si="6"/>
        <v>8802851.4803864732</v>
      </c>
      <c r="AG17" s="251">
        <f t="shared" si="6"/>
        <v>8951883.9128864724</v>
      </c>
      <c r="AH17" s="251">
        <f t="shared" si="6"/>
        <v>13459930.911003761</v>
      </c>
      <c r="AI17" s="251">
        <f t="shared" si="6"/>
        <v>113852166.82440992</v>
      </c>
      <c r="AJ17" s="251">
        <f t="shared" si="6"/>
        <v>0</v>
      </c>
      <c r="AK17" s="251">
        <f t="shared" si="6"/>
        <v>0</v>
      </c>
      <c r="AL17" s="251">
        <f t="shared" si="6"/>
        <v>0</v>
      </c>
      <c r="AM17" s="251">
        <f t="shared" si="6"/>
        <v>0</v>
      </c>
      <c r="AN17" s="251">
        <f t="shared" si="6"/>
        <v>0</v>
      </c>
      <c r="AO17" s="251">
        <f t="shared" si="6"/>
        <v>0</v>
      </c>
      <c r="AP17" s="251">
        <f t="shared" si="6"/>
        <v>0</v>
      </c>
      <c r="AQ17" s="251">
        <f t="shared" si="6"/>
        <v>0</v>
      </c>
      <c r="AR17" s="251">
        <f t="shared" si="6"/>
        <v>0</v>
      </c>
      <c r="AS17" s="251">
        <f t="shared" si="6"/>
        <v>0</v>
      </c>
      <c r="AT17" s="251">
        <f t="shared" si="6"/>
        <v>0</v>
      </c>
      <c r="AU17" s="251">
        <f t="shared" si="6"/>
        <v>0</v>
      </c>
      <c r="AV17" s="251">
        <f t="shared" si="6"/>
        <v>0</v>
      </c>
      <c r="AW17" s="251">
        <f t="shared" si="6"/>
        <v>0</v>
      </c>
      <c r="AX17" s="251">
        <f t="shared" si="6"/>
        <v>0</v>
      </c>
      <c r="AY17" s="251">
        <f t="shared" si="6"/>
        <v>0</v>
      </c>
      <c r="AZ17" s="251">
        <f t="shared" si="6"/>
        <v>0</v>
      </c>
      <c r="BA17" s="251">
        <f t="shared" si="6"/>
        <v>0</v>
      </c>
      <c r="BB17" s="251">
        <f t="shared" si="6"/>
        <v>0</v>
      </c>
      <c r="BC17" s="251">
        <f t="shared" si="6"/>
        <v>0</v>
      </c>
      <c r="BD17" s="251">
        <f t="shared" si="6"/>
        <v>0</v>
      </c>
      <c r="BE17" s="251">
        <f t="shared" si="6"/>
        <v>0</v>
      </c>
      <c r="BF17" s="251">
        <f t="shared" si="6"/>
        <v>0</v>
      </c>
      <c r="BG17" s="251">
        <f t="shared" si="6"/>
        <v>0</v>
      </c>
      <c r="BH17" s="251">
        <f t="shared" si="6"/>
        <v>0</v>
      </c>
      <c r="BI17" s="251">
        <f t="shared" si="6"/>
        <v>0</v>
      </c>
      <c r="BJ17" s="251">
        <f t="shared" si="6"/>
        <v>0</v>
      </c>
      <c r="BK17" s="251">
        <f t="shared" si="6"/>
        <v>0</v>
      </c>
      <c r="BL17" s="251">
        <f t="shared" si="6"/>
        <v>0</v>
      </c>
      <c r="BM17" s="251">
        <f t="shared" si="6"/>
        <v>0</v>
      </c>
      <c r="BN17" s="251">
        <f t="shared" si="6"/>
        <v>0</v>
      </c>
      <c r="BO17" s="251">
        <f t="shared" si="6"/>
        <v>0</v>
      </c>
      <c r="BP17" s="251">
        <f t="shared" si="6"/>
        <v>0</v>
      </c>
      <c r="BQ17" s="251">
        <f t="shared" si="6"/>
        <v>0</v>
      </c>
      <c r="BR17" s="251">
        <f t="shared" si="6"/>
        <v>0</v>
      </c>
      <c r="BS17" s="251">
        <f t="shared" si="6"/>
        <v>0</v>
      </c>
      <c r="BT17" s="251">
        <f t="shared" si="6"/>
        <v>0</v>
      </c>
      <c r="BU17" s="251">
        <f t="shared" si="6"/>
        <v>0</v>
      </c>
      <c r="BV17" s="251">
        <f t="shared" si="6"/>
        <v>0</v>
      </c>
      <c r="BW17" s="251">
        <f t="shared" si="6"/>
        <v>0</v>
      </c>
      <c r="BX17" s="251">
        <f t="shared" si="6"/>
        <v>0</v>
      </c>
      <c r="BY17" s="535">
        <f>BZ5+BZ9+BZ12</f>
        <v>246850270.4986504</v>
      </c>
      <c r="BZ17" s="563"/>
      <c r="CA17" s="229"/>
      <c r="CB17" s="229"/>
      <c r="CC17" s="229"/>
      <c r="CD17" s="535">
        <f>CE5+CE9+CE12</f>
        <v>846974970.28888726</v>
      </c>
      <c r="CE17" s="563"/>
    </row>
    <row r="18" spans="2:83" ht="15.95">
      <c r="B18" s="544" t="s">
        <v>195</v>
      </c>
      <c r="C18" s="252" t="s">
        <v>196</v>
      </c>
      <c r="D18" s="253"/>
      <c r="E18" s="254">
        <f t="shared" ref="E18:BY18" si="7">SUM(E19:E23)</f>
        <v>0</v>
      </c>
      <c r="F18" s="254">
        <f t="shared" si="7"/>
        <v>0</v>
      </c>
      <c r="G18" s="254">
        <f t="shared" si="7"/>
        <v>0</v>
      </c>
      <c r="H18" s="254">
        <f t="shared" si="7"/>
        <v>0</v>
      </c>
      <c r="I18" s="254">
        <f t="shared" si="7"/>
        <v>0</v>
      </c>
      <c r="J18" s="254">
        <f t="shared" si="7"/>
        <v>-100000</v>
      </c>
      <c r="K18" s="254">
        <f t="shared" si="7"/>
        <v>0</v>
      </c>
      <c r="L18" s="254">
        <f t="shared" si="7"/>
        <v>-5000000</v>
      </c>
      <c r="M18" s="254">
        <f t="shared" si="7"/>
        <v>0</v>
      </c>
      <c r="N18" s="254">
        <f t="shared" si="7"/>
        <v>0</v>
      </c>
      <c r="O18" s="254">
        <f t="shared" si="7"/>
        <v>-701513.3563000001</v>
      </c>
      <c r="P18" s="254">
        <f t="shared" si="7"/>
        <v>0</v>
      </c>
      <c r="Q18" s="254">
        <f t="shared" si="7"/>
        <v>0</v>
      </c>
      <c r="R18" s="254">
        <f t="shared" si="7"/>
        <v>0</v>
      </c>
      <c r="S18" s="254">
        <f t="shared" si="7"/>
        <v>0</v>
      </c>
      <c r="T18" s="254">
        <f t="shared" si="7"/>
        <v>0</v>
      </c>
      <c r="U18" s="254">
        <f t="shared" si="7"/>
        <v>-21000000</v>
      </c>
      <c r="V18" s="254">
        <f t="shared" si="7"/>
        <v>0</v>
      </c>
      <c r="W18" s="254">
        <f t="shared" si="7"/>
        <v>0</v>
      </c>
      <c r="X18" s="254">
        <f t="shared" si="7"/>
        <v>0</v>
      </c>
      <c r="Y18" s="254">
        <f t="shared" si="7"/>
        <v>0</v>
      </c>
      <c r="Z18" s="254">
        <f t="shared" si="7"/>
        <v>0</v>
      </c>
      <c r="AA18" s="254">
        <f t="shared" si="7"/>
        <v>0</v>
      </c>
      <c r="AB18" s="254">
        <f t="shared" si="7"/>
        <v>0</v>
      </c>
      <c r="AC18" s="254">
        <f t="shared" si="7"/>
        <v>0</v>
      </c>
      <c r="AD18" s="254">
        <f t="shared" si="7"/>
        <v>0</v>
      </c>
      <c r="AE18" s="254">
        <f t="shared" si="7"/>
        <v>0</v>
      </c>
      <c r="AF18" s="254">
        <f t="shared" si="7"/>
        <v>0</v>
      </c>
      <c r="AG18" s="254">
        <f t="shared" si="7"/>
        <v>0</v>
      </c>
      <c r="AH18" s="254">
        <f t="shared" si="7"/>
        <v>0</v>
      </c>
      <c r="AI18" s="254">
        <f t="shared" si="7"/>
        <v>0</v>
      </c>
      <c r="AJ18" s="254">
        <f t="shared" si="7"/>
        <v>0</v>
      </c>
      <c r="AK18" s="254">
        <f t="shared" si="7"/>
        <v>0</v>
      </c>
      <c r="AL18" s="254">
        <f t="shared" si="7"/>
        <v>0</v>
      </c>
      <c r="AM18" s="254">
        <f t="shared" si="7"/>
        <v>0</v>
      </c>
      <c r="AN18" s="254">
        <f t="shared" si="7"/>
        <v>0</v>
      </c>
      <c r="AO18" s="254">
        <f t="shared" si="7"/>
        <v>0</v>
      </c>
      <c r="AP18" s="254">
        <f t="shared" si="7"/>
        <v>0</v>
      </c>
      <c r="AQ18" s="254">
        <f t="shared" si="7"/>
        <v>0</v>
      </c>
      <c r="AR18" s="254">
        <f t="shared" si="7"/>
        <v>0</v>
      </c>
      <c r="AS18" s="254">
        <f t="shared" si="7"/>
        <v>0</v>
      </c>
      <c r="AT18" s="254">
        <f t="shared" si="7"/>
        <v>0</v>
      </c>
      <c r="AU18" s="254">
        <f t="shared" si="7"/>
        <v>0</v>
      </c>
      <c r="AV18" s="254">
        <f t="shared" si="7"/>
        <v>0</v>
      </c>
      <c r="AW18" s="254">
        <f t="shared" si="7"/>
        <v>0</v>
      </c>
      <c r="AX18" s="254">
        <f t="shared" si="7"/>
        <v>0</v>
      </c>
      <c r="AY18" s="254">
        <f t="shared" si="7"/>
        <v>0</v>
      </c>
      <c r="AZ18" s="254">
        <f t="shared" si="7"/>
        <v>0</v>
      </c>
      <c r="BA18" s="254">
        <f t="shared" si="7"/>
        <v>0</v>
      </c>
      <c r="BB18" s="254">
        <f t="shared" si="7"/>
        <v>0</v>
      </c>
      <c r="BC18" s="254">
        <f t="shared" si="7"/>
        <v>0</v>
      </c>
      <c r="BD18" s="254">
        <f t="shared" si="7"/>
        <v>0</v>
      </c>
      <c r="BE18" s="254">
        <f t="shared" si="7"/>
        <v>0</v>
      </c>
      <c r="BF18" s="254">
        <f t="shared" si="7"/>
        <v>0</v>
      </c>
      <c r="BG18" s="254">
        <f t="shared" si="7"/>
        <v>0</v>
      </c>
      <c r="BH18" s="254">
        <f t="shared" si="7"/>
        <v>0</v>
      </c>
      <c r="BI18" s="254">
        <f t="shared" si="7"/>
        <v>0</v>
      </c>
      <c r="BJ18" s="254">
        <f t="shared" si="7"/>
        <v>0</v>
      </c>
      <c r="BK18" s="254">
        <f t="shared" si="7"/>
        <v>0</v>
      </c>
      <c r="BL18" s="254">
        <f t="shared" si="7"/>
        <v>0</v>
      </c>
      <c r="BM18" s="254">
        <f t="shared" si="7"/>
        <v>0</v>
      </c>
      <c r="BN18" s="254">
        <f t="shared" si="7"/>
        <v>0</v>
      </c>
      <c r="BO18" s="254">
        <f t="shared" si="7"/>
        <v>0</v>
      </c>
      <c r="BP18" s="254">
        <f t="shared" si="7"/>
        <v>0</v>
      </c>
      <c r="BQ18" s="254">
        <f t="shared" si="7"/>
        <v>0</v>
      </c>
      <c r="BR18" s="254">
        <f t="shared" si="7"/>
        <v>0</v>
      </c>
      <c r="BS18" s="254">
        <f t="shared" si="7"/>
        <v>0</v>
      </c>
      <c r="BT18" s="254">
        <f t="shared" si="7"/>
        <v>0</v>
      </c>
      <c r="BU18" s="254">
        <f t="shared" si="7"/>
        <v>0</v>
      </c>
      <c r="BV18" s="254">
        <f t="shared" si="7"/>
        <v>0</v>
      </c>
      <c r="BW18" s="254">
        <f t="shared" si="7"/>
        <v>0</v>
      </c>
      <c r="BX18" s="254">
        <f t="shared" si="7"/>
        <v>0</v>
      </c>
      <c r="BY18" s="255">
        <f t="shared" si="7"/>
        <v>-26801513.3563</v>
      </c>
      <c r="BZ18" s="534">
        <f>BY18+BY24+BY27+BY35+BY38+BY48+BY54+BY62+BY70</f>
        <v>-110512945.90483446</v>
      </c>
      <c r="CA18" s="229" t="e">
        <f ca="1">BY18+K16+V16+SUM(I24:AA24)+SUM(I27:AA27)+SUM(I38:AA38)+_xludf.sum</f>
        <v>#NAME?</v>
      </c>
      <c r="CB18" s="229"/>
      <c r="CC18" s="229"/>
      <c r="CD18" s="256" t="e">
        <f t="array" aca="1" ref="CD18" ca="1">SUM(INDEX(E18:BX18, , 1):INDEX(E18:BX18, ,MATCH($CD$4, $E$3:$BX$3,0) ))</f>
        <v>#N/A</v>
      </c>
      <c r="CE18" s="534" t="e">
        <f ca="1">CD18+CD24+CD27+CD35+CD38+CD48+CD54+CD62+CD70</f>
        <v>#N/A</v>
      </c>
    </row>
    <row r="19" spans="2:83" ht="15.95" outlineLevel="1">
      <c r="B19" s="569"/>
      <c r="C19" s="257" t="s">
        <v>197</v>
      </c>
      <c r="D19" s="258" t="s">
        <v>191</v>
      </c>
      <c r="E19" s="259"/>
      <c r="F19" s="259"/>
      <c r="G19" s="259"/>
      <c r="H19" s="259"/>
      <c r="I19" s="259"/>
      <c r="J19" s="259"/>
      <c r="K19" s="259"/>
      <c r="L19" s="259">
        <f>-5000000</f>
        <v>-5000000</v>
      </c>
      <c r="M19" s="259"/>
      <c r="N19" s="259"/>
      <c r="O19" s="259"/>
      <c r="P19" s="259"/>
      <c r="Q19" s="259"/>
      <c r="R19" s="259"/>
      <c r="S19" s="259"/>
      <c r="T19" s="259"/>
      <c r="U19" s="259">
        <f>-26000000-L19</f>
        <v>-21000000</v>
      </c>
      <c r="V19" s="259"/>
      <c r="W19" s="259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60">
        <f t="shared" ref="BY19:BY23" si="8">SUM(E19:BX19)</f>
        <v>-26000000</v>
      </c>
      <c r="BZ19" s="564"/>
      <c r="CA19" s="229"/>
      <c r="CB19" s="229"/>
      <c r="CC19" s="229"/>
      <c r="CD19" s="256" t="e">
        <f t="shared" ref="CD19:CD23" ca="1" si="9">SUM(INDEX(AC19:BX19, , 1):INDEX(AC19:BX19, ,MATCH($CD$4, $E$3:$BX$3,0) ))</f>
        <v>#N/A</v>
      </c>
      <c r="CE19" s="564"/>
    </row>
    <row r="20" spans="2:83" ht="15.95" outlineLevel="1">
      <c r="B20" s="569"/>
      <c r="C20" s="257" t="s">
        <v>198</v>
      </c>
      <c r="D20" s="258" t="s">
        <v>191</v>
      </c>
      <c r="E20" s="259"/>
      <c r="F20" s="259"/>
      <c r="G20" s="259"/>
      <c r="H20" s="259"/>
      <c r="I20" s="259"/>
      <c r="J20" s="259">
        <f>-Businessplan_prodej!F10</f>
        <v>-100000</v>
      </c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  <c r="AP20" s="259"/>
      <c r="AQ20" s="259"/>
      <c r="AR20" s="259"/>
      <c r="AS20" s="259"/>
      <c r="AT20" s="259"/>
      <c r="AU20" s="259"/>
      <c r="AV20" s="259"/>
      <c r="AW20" s="259"/>
      <c r="AX20" s="259"/>
      <c r="AY20" s="259"/>
      <c r="AZ20" s="259"/>
      <c r="BA20" s="259"/>
      <c r="BB20" s="259"/>
      <c r="BC20" s="259"/>
      <c r="BD20" s="259"/>
      <c r="BE20" s="259"/>
      <c r="BF20" s="259"/>
      <c r="BG20" s="259"/>
      <c r="BH20" s="259"/>
      <c r="BI20" s="259"/>
      <c r="BJ20" s="259"/>
      <c r="BK20" s="259"/>
      <c r="BL20" s="259"/>
      <c r="BM20" s="259"/>
      <c r="BN20" s="259"/>
      <c r="BO20" s="259"/>
      <c r="BP20" s="259"/>
      <c r="BQ20" s="259"/>
      <c r="BR20" s="259"/>
      <c r="BS20" s="259"/>
      <c r="BT20" s="259"/>
      <c r="BU20" s="259"/>
      <c r="BV20" s="259"/>
      <c r="BW20" s="259"/>
      <c r="BX20" s="259"/>
      <c r="BY20" s="260">
        <f t="shared" si="8"/>
        <v>-100000</v>
      </c>
      <c r="BZ20" s="564"/>
      <c r="CA20" s="229"/>
      <c r="CB20" s="229"/>
      <c r="CC20" s="229"/>
      <c r="CD20" s="256" t="e">
        <f t="shared" ca="1" si="9"/>
        <v>#N/A</v>
      </c>
      <c r="CE20" s="564"/>
    </row>
    <row r="21" spans="2:83" ht="15.95" outlineLevel="1">
      <c r="B21" s="569"/>
      <c r="C21" s="257" t="s">
        <v>199</v>
      </c>
      <c r="D21" s="258" t="s">
        <v>191</v>
      </c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>
        <f>-Businessplan_prodej!$F$11</f>
        <v>-250000</v>
      </c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60">
        <f t="shared" si="8"/>
        <v>-250000</v>
      </c>
      <c r="BZ21" s="564"/>
      <c r="CA21" s="229"/>
      <c r="CB21" s="229"/>
      <c r="CC21" s="229"/>
      <c r="CD21" s="256" t="e">
        <f t="shared" ca="1" si="9"/>
        <v>#N/A</v>
      </c>
      <c r="CE21" s="564"/>
    </row>
    <row r="22" spans="2:83" ht="15.95" outlineLevel="1">
      <c r="B22" s="569"/>
      <c r="C22" s="257" t="s">
        <v>200</v>
      </c>
      <c r="D22" s="258" t="s">
        <v>191</v>
      </c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>
        <f>-Businessplan_prodej!$F$12</f>
        <v>-252665.65170000002</v>
      </c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59"/>
      <c r="BC22" s="259"/>
      <c r="BD22" s="259"/>
      <c r="BE22" s="259"/>
      <c r="BF22" s="259"/>
      <c r="BG22" s="259"/>
      <c r="BH22" s="259"/>
      <c r="BI22" s="259"/>
      <c r="BJ22" s="259"/>
      <c r="BK22" s="259"/>
      <c r="BL22" s="259"/>
      <c r="BM22" s="259"/>
      <c r="BN22" s="259"/>
      <c r="BO22" s="259"/>
      <c r="BP22" s="259"/>
      <c r="BQ22" s="259"/>
      <c r="BR22" s="259"/>
      <c r="BS22" s="259"/>
      <c r="BT22" s="259"/>
      <c r="BU22" s="259"/>
      <c r="BV22" s="259"/>
      <c r="BW22" s="259"/>
      <c r="BX22" s="259"/>
      <c r="BY22" s="260">
        <f t="shared" si="8"/>
        <v>-252665.65170000002</v>
      </c>
      <c r="BZ22" s="564"/>
      <c r="CA22" s="229"/>
      <c r="CB22" s="229"/>
      <c r="CC22" s="229"/>
      <c r="CD22" s="256" t="e">
        <f t="shared" ca="1" si="9"/>
        <v>#N/A</v>
      </c>
      <c r="CE22" s="564"/>
    </row>
    <row r="23" spans="2:83" ht="15.95" outlineLevel="1">
      <c r="B23" s="569"/>
      <c r="C23" s="257" t="s">
        <v>201</v>
      </c>
      <c r="D23" s="261" t="s">
        <v>191</v>
      </c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>
        <f>-Businessplan_prodej!$F$13</f>
        <v>-198847.7046</v>
      </c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259"/>
      <c r="AU23" s="259"/>
      <c r="AV23" s="259"/>
      <c r="AW23" s="259"/>
      <c r="AX23" s="259"/>
      <c r="AY23" s="259"/>
      <c r="AZ23" s="259"/>
      <c r="BA23" s="259"/>
      <c r="BB23" s="259"/>
      <c r="BC23" s="259"/>
      <c r="BD23" s="259"/>
      <c r="BE23" s="259"/>
      <c r="BF23" s="259"/>
      <c r="BG23" s="259"/>
      <c r="BH23" s="259"/>
      <c r="BI23" s="259"/>
      <c r="BJ23" s="259"/>
      <c r="BK23" s="259"/>
      <c r="BL23" s="259"/>
      <c r="BM23" s="259"/>
      <c r="BN23" s="259"/>
      <c r="BO23" s="259"/>
      <c r="BP23" s="259"/>
      <c r="BQ23" s="259"/>
      <c r="BR23" s="259"/>
      <c r="BS23" s="259"/>
      <c r="BT23" s="259"/>
      <c r="BU23" s="259"/>
      <c r="BV23" s="259"/>
      <c r="BW23" s="259"/>
      <c r="BX23" s="259"/>
      <c r="BY23" s="260">
        <f t="shared" si="8"/>
        <v>-198847.7046</v>
      </c>
      <c r="BZ23" s="564"/>
      <c r="CA23" s="229"/>
      <c r="CB23" s="229"/>
      <c r="CC23" s="229"/>
      <c r="CD23" s="256" t="e">
        <f t="shared" ca="1" si="9"/>
        <v>#N/A</v>
      </c>
      <c r="CE23" s="564"/>
    </row>
    <row r="24" spans="2:83" ht="15.95">
      <c r="B24" s="569"/>
      <c r="C24" s="252" t="s">
        <v>202</v>
      </c>
      <c r="D24" s="253"/>
      <c r="E24" s="254">
        <f t="shared" ref="E24:BY24" si="10">SUM(E25:E26)</f>
        <v>0</v>
      </c>
      <c r="F24" s="254">
        <f t="shared" si="10"/>
        <v>0</v>
      </c>
      <c r="G24" s="254">
        <f t="shared" si="10"/>
        <v>0</v>
      </c>
      <c r="H24" s="254">
        <f t="shared" si="10"/>
        <v>0</v>
      </c>
      <c r="I24" s="254">
        <f t="shared" si="10"/>
        <v>0</v>
      </c>
      <c r="J24" s="254">
        <f t="shared" si="10"/>
        <v>0</v>
      </c>
      <c r="K24" s="254">
        <f t="shared" si="10"/>
        <v>0</v>
      </c>
      <c r="L24" s="254">
        <f t="shared" si="10"/>
        <v>0</v>
      </c>
      <c r="M24" s="254">
        <f t="shared" si="10"/>
        <v>0</v>
      </c>
      <c r="N24" s="254">
        <f t="shared" si="10"/>
        <v>0</v>
      </c>
      <c r="O24" s="254">
        <f t="shared" si="10"/>
        <v>0</v>
      </c>
      <c r="P24" s="254">
        <f t="shared" si="10"/>
        <v>-394000</v>
      </c>
      <c r="Q24" s="254">
        <f t="shared" si="10"/>
        <v>-394000</v>
      </c>
      <c r="R24" s="254">
        <f t="shared" si="10"/>
        <v>-591000</v>
      </c>
      <c r="S24" s="254">
        <f t="shared" si="10"/>
        <v>-394000</v>
      </c>
      <c r="T24" s="254">
        <f t="shared" si="10"/>
        <v>0</v>
      </c>
      <c r="U24" s="254">
        <f t="shared" si="10"/>
        <v>0</v>
      </c>
      <c r="V24" s="254">
        <f t="shared" si="10"/>
        <v>-197000</v>
      </c>
      <c r="W24" s="254">
        <f t="shared" si="10"/>
        <v>0</v>
      </c>
      <c r="X24" s="254">
        <f t="shared" si="10"/>
        <v>0</v>
      </c>
      <c r="Y24" s="254">
        <f t="shared" si="10"/>
        <v>0</v>
      </c>
      <c r="Z24" s="254">
        <f t="shared" si="10"/>
        <v>0</v>
      </c>
      <c r="AA24" s="254">
        <f t="shared" si="10"/>
        <v>0</v>
      </c>
      <c r="AB24" s="254">
        <f t="shared" si="10"/>
        <v>0</v>
      </c>
      <c r="AC24" s="254">
        <f t="shared" si="10"/>
        <v>0</v>
      </c>
      <c r="AD24" s="254">
        <f t="shared" si="10"/>
        <v>0</v>
      </c>
      <c r="AE24" s="254">
        <f t="shared" si="10"/>
        <v>0</v>
      </c>
      <c r="AF24" s="254">
        <f t="shared" si="10"/>
        <v>0</v>
      </c>
      <c r="AG24" s="254">
        <f t="shared" si="10"/>
        <v>0</v>
      </c>
      <c r="AH24" s="254">
        <f t="shared" si="10"/>
        <v>0</v>
      </c>
      <c r="AI24" s="254">
        <f t="shared" si="10"/>
        <v>0</v>
      </c>
      <c r="AJ24" s="254">
        <f t="shared" si="10"/>
        <v>0</v>
      </c>
      <c r="AK24" s="254">
        <f t="shared" si="10"/>
        <v>0</v>
      </c>
      <c r="AL24" s="254">
        <f t="shared" si="10"/>
        <v>0</v>
      </c>
      <c r="AM24" s="254">
        <f t="shared" si="10"/>
        <v>0</v>
      </c>
      <c r="AN24" s="254">
        <f t="shared" si="10"/>
        <v>0</v>
      </c>
      <c r="AO24" s="254">
        <f t="shared" si="10"/>
        <v>0</v>
      </c>
      <c r="AP24" s="254">
        <f t="shared" si="10"/>
        <v>0</v>
      </c>
      <c r="AQ24" s="254">
        <f t="shared" si="10"/>
        <v>0</v>
      </c>
      <c r="AR24" s="254">
        <f t="shared" si="10"/>
        <v>0</v>
      </c>
      <c r="AS24" s="254">
        <f t="shared" si="10"/>
        <v>0</v>
      </c>
      <c r="AT24" s="254">
        <f t="shared" si="10"/>
        <v>0</v>
      </c>
      <c r="AU24" s="254">
        <f t="shared" si="10"/>
        <v>0</v>
      </c>
      <c r="AV24" s="254">
        <f t="shared" si="10"/>
        <v>0</v>
      </c>
      <c r="AW24" s="254">
        <f t="shared" si="10"/>
        <v>0</v>
      </c>
      <c r="AX24" s="254">
        <f t="shared" si="10"/>
        <v>0</v>
      </c>
      <c r="AY24" s="254">
        <f t="shared" si="10"/>
        <v>0</v>
      </c>
      <c r="AZ24" s="254">
        <f t="shared" si="10"/>
        <v>0</v>
      </c>
      <c r="BA24" s="254">
        <f t="shared" si="10"/>
        <v>0</v>
      </c>
      <c r="BB24" s="254">
        <f t="shared" si="10"/>
        <v>0</v>
      </c>
      <c r="BC24" s="254">
        <f t="shared" si="10"/>
        <v>0</v>
      </c>
      <c r="BD24" s="254">
        <f t="shared" si="10"/>
        <v>0</v>
      </c>
      <c r="BE24" s="254">
        <f t="shared" si="10"/>
        <v>0</v>
      </c>
      <c r="BF24" s="254">
        <f t="shared" si="10"/>
        <v>0</v>
      </c>
      <c r="BG24" s="254">
        <f t="shared" si="10"/>
        <v>0</v>
      </c>
      <c r="BH24" s="254">
        <f t="shared" si="10"/>
        <v>0</v>
      </c>
      <c r="BI24" s="254">
        <f t="shared" si="10"/>
        <v>0</v>
      </c>
      <c r="BJ24" s="254">
        <f t="shared" si="10"/>
        <v>0</v>
      </c>
      <c r="BK24" s="254">
        <f t="shared" si="10"/>
        <v>0</v>
      </c>
      <c r="BL24" s="254">
        <f t="shared" si="10"/>
        <v>0</v>
      </c>
      <c r="BM24" s="254">
        <f t="shared" si="10"/>
        <v>0</v>
      </c>
      <c r="BN24" s="254">
        <f t="shared" si="10"/>
        <v>0</v>
      </c>
      <c r="BO24" s="254">
        <f t="shared" si="10"/>
        <v>0</v>
      </c>
      <c r="BP24" s="254">
        <f t="shared" si="10"/>
        <v>0</v>
      </c>
      <c r="BQ24" s="254">
        <f t="shared" si="10"/>
        <v>0</v>
      </c>
      <c r="BR24" s="254">
        <f t="shared" si="10"/>
        <v>0</v>
      </c>
      <c r="BS24" s="254">
        <f t="shared" si="10"/>
        <v>0</v>
      </c>
      <c r="BT24" s="254">
        <f t="shared" si="10"/>
        <v>0</v>
      </c>
      <c r="BU24" s="254">
        <f t="shared" si="10"/>
        <v>0</v>
      </c>
      <c r="BV24" s="254">
        <f t="shared" si="10"/>
        <v>0</v>
      </c>
      <c r="BW24" s="254">
        <f t="shared" si="10"/>
        <v>0</v>
      </c>
      <c r="BX24" s="254">
        <f t="shared" si="10"/>
        <v>0</v>
      </c>
      <c r="BY24" s="255">
        <f t="shared" si="10"/>
        <v>-1970000</v>
      </c>
      <c r="BZ24" s="564"/>
      <c r="CA24" s="229"/>
      <c r="CB24" s="229"/>
      <c r="CC24" s="229"/>
      <c r="CD24" s="256" t="e">
        <f t="array" aca="1" ref="CD24" ca="1">SUM(INDEX(E24:BX24, , 1):INDEX(E24:BX24, ,MATCH($CD$4, $E$3:$BX$3,0) ))</f>
        <v>#N/A</v>
      </c>
      <c r="CE24" s="564"/>
    </row>
    <row r="25" spans="2:83" ht="15.95" outlineLevel="1">
      <c r="B25" s="569"/>
      <c r="C25" s="257" t="s">
        <v>203</v>
      </c>
      <c r="D25" s="261" t="s">
        <v>191</v>
      </c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>
        <f>-Businessplan_prodej!$F$20*0.2</f>
        <v>-394000</v>
      </c>
      <c r="Q25" s="263">
        <f>-Businessplan_prodej!$F$20*0.2</f>
        <v>-394000</v>
      </c>
      <c r="R25" s="263">
        <f>-Businessplan_prodej!$F$20*0.3</f>
        <v>-591000</v>
      </c>
      <c r="S25" s="263">
        <f>-Businessplan_prodej!$F$20*0.2</f>
        <v>-394000</v>
      </c>
      <c r="T25" s="263"/>
      <c r="U25" s="263"/>
      <c r="V25" s="263">
        <f>-Businessplan_prodej!$F$20*0.1</f>
        <v>-197000</v>
      </c>
      <c r="W25" s="263"/>
      <c r="X25" s="263"/>
      <c r="Y25" s="263"/>
      <c r="Z25" s="263"/>
      <c r="AA25" s="263"/>
      <c r="AB25" s="263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4">
        <f t="shared" ref="BY25:BY26" si="11">SUM(E25:BX25)</f>
        <v>-1970000</v>
      </c>
      <c r="BZ25" s="564"/>
      <c r="CA25" s="229"/>
      <c r="CB25" s="229"/>
      <c r="CC25" s="229"/>
      <c r="CD25" s="256" t="e">
        <f t="shared" ref="CD25:CD26" ca="1" si="12">SUM(INDEX(AC25:BX25, , 1):INDEX(AC25:BX25, ,MATCH(#REF!, $E$3:$BX$3,0) ))</f>
        <v>#REF!</v>
      </c>
      <c r="CE25" s="564"/>
    </row>
    <row r="26" spans="2:83" ht="15.95" outlineLevel="1">
      <c r="B26" s="569"/>
      <c r="C26" s="257" t="s">
        <v>204</v>
      </c>
      <c r="D26" s="261" t="s">
        <v>191</v>
      </c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>
        <f>-Businessplan_prodej!$F$22*0.4</f>
        <v>0</v>
      </c>
      <c r="S26" s="262"/>
      <c r="T26" s="262"/>
      <c r="U26" s="262"/>
      <c r="V26" s="262">
        <f>-Businessplan_prodej!$F$22*0.6</f>
        <v>0</v>
      </c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4">
        <f t="shared" si="11"/>
        <v>0</v>
      </c>
      <c r="BZ26" s="564"/>
      <c r="CA26" s="229"/>
      <c r="CB26" s="229"/>
      <c r="CC26" s="229"/>
      <c r="CD26" s="256" t="e">
        <f t="shared" ca="1" si="12"/>
        <v>#REF!</v>
      </c>
      <c r="CE26" s="564"/>
    </row>
    <row r="27" spans="2:83" ht="15.95">
      <c r="B27" s="569"/>
      <c r="C27" s="252" t="s">
        <v>205</v>
      </c>
      <c r="D27" s="253"/>
      <c r="E27" s="254">
        <f t="shared" ref="E27:BX27" si="13">SUM(E28:E34)</f>
        <v>0</v>
      </c>
      <c r="F27" s="254">
        <f t="shared" si="13"/>
        <v>0</v>
      </c>
      <c r="G27" s="254">
        <f t="shared" si="13"/>
        <v>0</v>
      </c>
      <c r="H27" s="254">
        <f t="shared" si="13"/>
        <v>0</v>
      </c>
      <c r="I27" s="254">
        <f t="shared" si="13"/>
        <v>0</v>
      </c>
      <c r="J27" s="254">
        <f t="shared" si="13"/>
        <v>0</v>
      </c>
      <c r="K27" s="254">
        <f t="shared" si="13"/>
        <v>0</v>
      </c>
      <c r="L27" s="254">
        <f t="shared" si="13"/>
        <v>0</v>
      </c>
      <c r="M27" s="254">
        <f t="shared" si="13"/>
        <v>0</v>
      </c>
      <c r="N27" s="254">
        <f t="shared" si="13"/>
        <v>0</v>
      </c>
      <c r="O27" s="254">
        <f t="shared" si="13"/>
        <v>0</v>
      </c>
      <c r="P27" s="254">
        <f t="shared" si="13"/>
        <v>0</v>
      </c>
      <c r="Q27" s="254">
        <f t="shared" si="13"/>
        <v>0</v>
      </c>
      <c r="R27" s="254">
        <f t="shared" si="13"/>
        <v>0</v>
      </c>
      <c r="S27" s="254">
        <f t="shared" si="13"/>
        <v>0</v>
      </c>
      <c r="T27" s="254">
        <f t="shared" si="13"/>
        <v>0</v>
      </c>
      <c r="U27" s="254">
        <f t="shared" si="13"/>
        <v>0</v>
      </c>
      <c r="V27" s="254">
        <f t="shared" si="13"/>
        <v>0</v>
      </c>
      <c r="W27" s="254">
        <f t="shared" si="13"/>
        <v>0</v>
      </c>
      <c r="X27" s="254">
        <f t="shared" si="13"/>
        <v>0</v>
      </c>
      <c r="Y27" s="254">
        <f t="shared" si="13"/>
        <v>0</v>
      </c>
      <c r="Z27" s="254">
        <f t="shared" si="13"/>
        <v>-6819182.6977777779</v>
      </c>
      <c r="AA27" s="254">
        <f t="shared" si="13"/>
        <v>-6819182.6977777779</v>
      </c>
      <c r="AB27" s="254">
        <f t="shared" si="13"/>
        <v>-6819182.6977777779</v>
      </c>
      <c r="AC27" s="254">
        <f t="shared" si="13"/>
        <v>-6819182.6977777779</v>
      </c>
      <c r="AD27" s="254">
        <f t="shared" si="13"/>
        <v>-6819182.6977777779</v>
      </c>
      <c r="AE27" s="254">
        <f t="shared" si="13"/>
        <v>-6819182.6977777779</v>
      </c>
      <c r="AF27" s="254">
        <f t="shared" si="13"/>
        <v>-6819182.6977777779</v>
      </c>
      <c r="AG27" s="254">
        <f t="shared" si="13"/>
        <v>-6819182.6977777779</v>
      </c>
      <c r="AH27" s="254">
        <f t="shared" si="13"/>
        <v>-6819182.6977777779</v>
      </c>
      <c r="AI27" s="254">
        <f t="shared" si="13"/>
        <v>0</v>
      </c>
      <c r="AJ27" s="254">
        <f t="shared" si="13"/>
        <v>0</v>
      </c>
      <c r="AK27" s="254">
        <f t="shared" si="13"/>
        <v>0</v>
      </c>
      <c r="AL27" s="254">
        <f t="shared" si="13"/>
        <v>0</v>
      </c>
      <c r="AM27" s="254">
        <f t="shared" si="13"/>
        <v>0</v>
      </c>
      <c r="AN27" s="254">
        <f t="shared" si="13"/>
        <v>0</v>
      </c>
      <c r="AO27" s="254">
        <f t="shared" si="13"/>
        <v>0</v>
      </c>
      <c r="AP27" s="254">
        <f t="shared" si="13"/>
        <v>0</v>
      </c>
      <c r="AQ27" s="254">
        <f t="shared" si="13"/>
        <v>0</v>
      </c>
      <c r="AR27" s="254">
        <f t="shared" si="13"/>
        <v>0</v>
      </c>
      <c r="AS27" s="254">
        <f t="shared" si="13"/>
        <v>0</v>
      </c>
      <c r="AT27" s="254">
        <f t="shared" si="13"/>
        <v>0</v>
      </c>
      <c r="AU27" s="254">
        <f t="shared" si="13"/>
        <v>0</v>
      </c>
      <c r="AV27" s="254">
        <f t="shared" si="13"/>
        <v>0</v>
      </c>
      <c r="AW27" s="254">
        <f t="shared" si="13"/>
        <v>0</v>
      </c>
      <c r="AX27" s="254">
        <f t="shared" si="13"/>
        <v>0</v>
      </c>
      <c r="AY27" s="254">
        <f t="shared" si="13"/>
        <v>0</v>
      </c>
      <c r="AZ27" s="254">
        <f t="shared" si="13"/>
        <v>0</v>
      </c>
      <c r="BA27" s="254">
        <f t="shared" si="13"/>
        <v>0</v>
      </c>
      <c r="BB27" s="254">
        <f t="shared" si="13"/>
        <v>0</v>
      </c>
      <c r="BC27" s="254">
        <f t="shared" si="13"/>
        <v>0</v>
      </c>
      <c r="BD27" s="254">
        <f t="shared" si="13"/>
        <v>0</v>
      </c>
      <c r="BE27" s="254">
        <f t="shared" si="13"/>
        <v>0</v>
      </c>
      <c r="BF27" s="254">
        <f t="shared" si="13"/>
        <v>0</v>
      </c>
      <c r="BG27" s="254">
        <f t="shared" si="13"/>
        <v>0</v>
      </c>
      <c r="BH27" s="254">
        <f t="shared" si="13"/>
        <v>0</v>
      </c>
      <c r="BI27" s="254">
        <f t="shared" si="13"/>
        <v>0</v>
      </c>
      <c r="BJ27" s="254">
        <f t="shared" si="13"/>
        <v>0</v>
      </c>
      <c r="BK27" s="254">
        <f t="shared" si="13"/>
        <v>0</v>
      </c>
      <c r="BL27" s="254">
        <f t="shared" si="13"/>
        <v>0</v>
      </c>
      <c r="BM27" s="254">
        <f t="shared" si="13"/>
        <v>0</v>
      </c>
      <c r="BN27" s="254">
        <f t="shared" si="13"/>
        <v>0</v>
      </c>
      <c r="BO27" s="254">
        <f t="shared" si="13"/>
        <v>0</v>
      </c>
      <c r="BP27" s="254">
        <f t="shared" si="13"/>
        <v>0</v>
      </c>
      <c r="BQ27" s="254">
        <f t="shared" si="13"/>
        <v>0</v>
      </c>
      <c r="BR27" s="254">
        <f t="shared" si="13"/>
        <v>0</v>
      </c>
      <c r="BS27" s="254">
        <f t="shared" si="13"/>
        <v>0</v>
      </c>
      <c r="BT27" s="254">
        <f t="shared" si="13"/>
        <v>0</v>
      </c>
      <c r="BU27" s="254">
        <f t="shared" si="13"/>
        <v>0</v>
      </c>
      <c r="BV27" s="254">
        <f t="shared" si="13"/>
        <v>0</v>
      </c>
      <c r="BW27" s="254">
        <f t="shared" si="13"/>
        <v>0</v>
      </c>
      <c r="BX27" s="254">
        <f t="shared" si="13"/>
        <v>0</v>
      </c>
      <c r="BY27" s="256">
        <f>SUM(BY28:BY34)</f>
        <v>-61372644.280000001</v>
      </c>
      <c r="BZ27" s="564"/>
      <c r="CA27" s="229"/>
      <c r="CB27" s="229"/>
      <c r="CC27" s="229"/>
      <c r="CD27" s="256" t="e">
        <f t="array" aca="1" ref="CD27" ca="1">SUM(INDEX(E27:BX27, , 1):INDEX(E27:BX27, ,MATCH($CD$4, $E$3:$BX$3,0) ))</f>
        <v>#N/A</v>
      </c>
      <c r="CE27" s="564"/>
    </row>
    <row r="28" spans="2:83" ht="15.95" outlineLevel="1">
      <c r="B28" s="569"/>
      <c r="C28" s="257" t="s">
        <v>206</v>
      </c>
      <c r="D28" s="258" t="s">
        <v>191</v>
      </c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>
        <f>(-Businessplan_prodej!$C$40+Businessplan_prodej!$F$38)/9</f>
        <v>-6819182.6977777779</v>
      </c>
      <c r="AA28" s="259">
        <f>(-Businessplan_prodej!$C$40+Businessplan_prodej!$F$38)/9</f>
        <v>-6819182.6977777779</v>
      </c>
      <c r="AB28" s="259">
        <f>(-Businessplan_prodej!$C$40+Businessplan_prodej!$F$38)/9</f>
        <v>-6819182.6977777779</v>
      </c>
      <c r="AC28" s="259">
        <f>(-Businessplan_prodej!$C$40+Businessplan_prodej!$F$38)/9</f>
        <v>-6819182.6977777779</v>
      </c>
      <c r="AD28" s="259">
        <f>(-Businessplan_prodej!$C$40+Businessplan_prodej!$F$38)/9</f>
        <v>-6819182.6977777779</v>
      </c>
      <c r="AE28" s="259">
        <f>(-Businessplan_prodej!$C$40+Businessplan_prodej!$F$38)/9</f>
        <v>-6819182.6977777779</v>
      </c>
      <c r="AF28" s="259">
        <f>(-Businessplan_prodej!$C$40+Businessplan_prodej!$F$38)/9</f>
        <v>-6819182.6977777779</v>
      </c>
      <c r="AG28" s="259">
        <f>(-Businessplan_prodej!$C$40+Businessplan_prodej!$F$38)/9</f>
        <v>-6819182.6977777779</v>
      </c>
      <c r="AH28" s="259">
        <f>(-Businessplan_prodej!$C$40+Businessplan_prodej!$F$38)/9</f>
        <v>-6819182.6977777779</v>
      </c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  <c r="BV28" s="259"/>
      <c r="BW28" s="259"/>
      <c r="BX28" s="265"/>
      <c r="BY28" s="266">
        <f t="shared" ref="BY28:BY34" si="14">SUM(E28:BX28)</f>
        <v>-61372644.280000001</v>
      </c>
      <c r="BZ28" s="564"/>
      <c r="CA28" s="229"/>
      <c r="CB28" s="229"/>
      <c r="CC28" s="229"/>
      <c r="CD28" s="256" t="e">
        <f t="shared" ref="CD28:CD34" ca="1" si="15">SUM(INDEX(AC28:BX28, , 1):INDEX(AC28:BX28, ,MATCH(#REF!, $E$3:$BX$3,0) ))</f>
        <v>#REF!</v>
      </c>
      <c r="CE28" s="564"/>
    </row>
    <row r="29" spans="2:83" ht="15.95" outlineLevel="1">
      <c r="B29" s="569"/>
      <c r="C29" s="257" t="s">
        <v>207</v>
      </c>
      <c r="D29" s="258" t="s">
        <v>191</v>
      </c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  <c r="AE29" s="259"/>
      <c r="AF29" s="259"/>
      <c r="AG29" s="259"/>
      <c r="AH29" s="259"/>
      <c r="AI29" s="259"/>
      <c r="AJ29" s="259"/>
      <c r="AK29" s="259"/>
      <c r="AL29" s="259"/>
      <c r="AM29" s="259"/>
      <c r="AN29" s="259"/>
      <c r="AO29" s="259"/>
      <c r="AP29" s="259"/>
      <c r="AQ29" s="259"/>
      <c r="AR29" s="259"/>
      <c r="AS29" s="259"/>
      <c r="AT29" s="259"/>
      <c r="AU29" s="259"/>
      <c r="AV29" s="259"/>
      <c r="AW29" s="259"/>
      <c r="AX29" s="259"/>
      <c r="AY29" s="259"/>
      <c r="AZ29" s="259"/>
      <c r="BA29" s="259"/>
      <c r="BB29" s="259"/>
      <c r="BC29" s="259"/>
      <c r="BD29" s="259"/>
      <c r="BE29" s="259"/>
      <c r="BF29" s="259"/>
      <c r="BG29" s="259"/>
      <c r="BH29" s="259"/>
      <c r="BI29" s="259"/>
      <c r="BJ29" s="259"/>
      <c r="BK29" s="259"/>
      <c r="BL29" s="259"/>
      <c r="BM29" s="259"/>
      <c r="BN29" s="259"/>
      <c r="BO29" s="259"/>
      <c r="BP29" s="259"/>
      <c r="BQ29" s="259"/>
      <c r="BR29" s="259"/>
      <c r="BS29" s="259"/>
      <c r="BT29" s="259"/>
      <c r="BU29" s="259"/>
      <c r="BV29" s="259"/>
      <c r="BW29" s="259"/>
      <c r="BX29" s="265"/>
      <c r="BY29" s="267">
        <f t="shared" si="14"/>
        <v>0</v>
      </c>
      <c r="BZ29" s="564"/>
      <c r="CA29" s="229"/>
      <c r="CB29" s="229"/>
      <c r="CC29" s="229"/>
      <c r="CD29" s="256" t="e">
        <f t="shared" ca="1" si="15"/>
        <v>#REF!</v>
      </c>
      <c r="CE29" s="564"/>
    </row>
    <row r="30" spans="2:83" ht="15.95" outlineLevel="1">
      <c r="B30" s="569"/>
      <c r="C30" s="257" t="s">
        <v>208</v>
      </c>
      <c r="D30" s="258" t="s">
        <v>191</v>
      </c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259"/>
      <c r="BS30" s="259"/>
      <c r="BT30" s="259"/>
      <c r="BU30" s="259"/>
      <c r="BV30" s="259"/>
      <c r="BW30" s="259"/>
      <c r="BX30" s="265"/>
      <c r="BY30" s="267">
        <f t="shared" si="14"/>
        <v>0</v>
      </c>
      <c r="BZ30" s="564"/>
      <c r="CA30" s="229"/>
      <c r="CB30" s="229"/>
      <c r="CC30" s="229"/>
      <c r="CD30" s="256" t="e">
        <f t="shared" ca="1" si="15"/>
        <v>#REF!</v>
      </c>
      <c r="CE30" s="564"/>
    </row>
    <row r="31" spans="2:83" ht="15.95" outlineLevel="1">
      <c r="B31" s="569"/>
      <c r="C31" s="257" t="s">
        <v>209</v>
      </c>
      <c r="D31" s="258" t="s">
        <v>191</v>
      </c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59"/>
      <c r="AW31" s="259"/>
      <c r="AX31" s="259"/>
      <c r="AY31" s="259"/>
      <c r="AZ31" s="259"/>
      <c r="BA31" s="259"/>
      <c r="BB31" s="259"/>
      <c r="BC31" s="259"/>
      <c r="BD31" s="259"/>
      <c r="BE31" s="259"/>
      <c r="BF31" s="259"/>
      <c r="BG31" s="259"/>
      <c r="BH31" s="259"/>
      <c r="BI31" s="259"/>
      <c r="BJ31" s="259"/>
      <c r="BK31" s="259"/>
      <c r="BL31" s="259"/>
      <c r="BM31" s="259"/>
      <c r="BN31" s="259"/>
      <c r="BO31" s="259"/>
      <c r="BP31" s="259"/>
      <c r="BQ31" s="259"/>
      <c r="BR31" s="259"/>
      <c r="BS31" s="259"/>
      <c r="BT31" s="259"/>
      <c r="BU31" s="259"/>
      <c r="BV31" s="259"/>
      <c r="BW31" s="259"/>
      <c r="BX31" s="265"/>
      <c r="BY31" s="267">
        <f t="shared" si="14"/>
        <v>0</v>
      </c>
      <c r="BZ31" s="564"/>
      <c r="CA31" s="229"/>
      <c r="CB31" s="229"/>
      <c r="CC31" s="229"/>
      <c r="CD31" s="256" t="e">
        <f t="shared" ca="1" si="15"/>
        <v>#REF!</v>
      </c>
      <c r="CE31" s="564"/>
    </row>
    <row r="32" spans="2:83" ht="15.95" outlineLevel="1">
      <c r="B32" s="569"/>
      <c r="C32" s="257" t="s">
        <v>210</v>
      </c>
      <c r="D32" s="258" t="s">
        <v>191</v>
      </c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  <c r="AP32" s="259"/>
      <c r="AQ32" s="259"/>
      <c r="AR32" s="259"/>
      <c r="AS32" s="259"/>
      <c r="AT32" s="259"/>
      <c r="AU32" s="259"/>
      <c r="AV32" s="259"/>
      <c r="AW32" s="259"/>
      <c r="AX32" s="259"/>
      <c r="AY32" s="259"/>
      <c r="AZ32" s="259"/>
      <c r="BA32" s="259"/>
      <c r="BB32" s="259"/>
      <c r="BC32" s="259"/>
      <c r="BD32" s="259"/>
      <c r="BE32" s="259"/>
      <c r="BF32" s="259"/>
      <c r="BG32" s="259"/>
      <c r="BH32" s="259"/>
      <c r="BI32" s="259"/>
      <c r="BJ32" s="259"/>
      <c r="BK32" s="259"/>
      <c r="BL32" s="259"/>
      <c r="BM32" s="259"/>
      <c r="BN32" s="259"/>
      <c r="BO32" s="259"/>
      <c r="BP32" s="259"/>
      <c r="BQ32" s="259"/>
      <c r="BR32" s="259"/>
      <c r="BS32" s="259"/>
      <c r="BT32" s="259"/>
      <c r="BU32" s="259"/>
      <c r="BV32" s="259"/>
      <c r="BW32" s="259"/>
      <c r="BX32" s="265"/>
      <c r="BY32" s="267">
        <f t="shared" si="14"/>
        <v>0</v>
      </c>
      <c r="BZ32" s="564"/>
      <c r="CA32" s="229"/>
      <c r="CB32" s="229"/>
      <c r="CC32" s="229"/>
      <c r="CD32" s="256" t="e">
        <f t="shared" ca="1" si="15"/>
        <v>#REF!</v>
      </c>
      <c r="CE32" s="564"/>
    </row>
    <row r="33" spans="2:83" ht="15.95" outlineLevel="1">
      <c r="B33" s="569"/>
      <c r="C33" s="268" t="s">
        <v>211</v>
      </c>
      <c r="D33" s="258" t="s">
        <v>191</v>
      </c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  <c r="AP33" s="259"/>
      <c r="AQ33" s="259"/>
      <c r="AR33" s="259"/>
      <c r="AS33" s="259"/>
      <c r="AT33" s="259"/>
      <c r="AU33" s="259"/>
      <c r="AV33" s="259"/>
      <c r="AW33" s="259"/>
      <c r="AX33" s="259"/>
      <c r="AY33" s="259"/>
      <c r="AZ33" s="259"/>
      <c r="BA33" s="259"/>
      <c r="BB33" s="259"/>
      <c r="BC33" s="259"/>
      <c r="BD33" s="259"/>
      <c r="BE33" s="259"/>
      <c r="BF33" s="259"/>
      <c r="BG33" s="259"/>
      <c r="BH33" s="259"/>
      <c r="BI33" s="259"/>
      <c r="BJ33" s="259"/>
      <c r="BK33" s="259"/>
      <c r="BL33" s="259"/>
      <c r="BM33" s="259"/>
      <c r="BN33" s="259"/>
      <c r="BO33" s="259"/>
      <c r="BP33" s="259"/>
      <c r="BQ33" s="259"/>
      <c r="BR33" s="259"/>
      <c r="BS33" s="259"/>
      <c r="BT33" s="259"/>
      <c r="BU33" s="259"/>
      <c r="BV33" s="259"/>
      <c r="BW33" s="259"/>
      <c r="BX33" s="265"/>
      <c r="BY33" s="267">
        <f t="shared" si="14"/>
        <v>0</v>
      </c>
      <c r="BZ33" s="564"/>
      <c r="CA33" s="229"/>
      <c r="CB33" s="229"/>
      <c r="CC33" s="229"/>
      <c r="CD33" s="256" t="e">
        <f t="shared" ca="1" si="15"/>
        <v>#REF!</v>
      </c>
      <c r="CE33" s="564"/>
    </row>
    <row r="34" spans="2:83" ht="15.95" outlineLevel="1">
      <c r="B34" s="569"/>
      <c r="C34" s="257" t="s">
        <v>212</v>
      </c>
      <c r="D34" s="261" t="s">
        <v>191</v>
      </c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65"/>
      <c r="BY34" s="269">
        <f t="shared" si="14"/>
        <v>0</v>
      </c>
      <c r="BZ34" s="564"/>
      <c r="CA34" s="229"/>
      <c r="CB34" s="229"/>
      <c r="CC34" s="229"/>
      <c r="CD34" s="256" t="e">
        <f t="shared" ca="1" si="15"/>
        <v>#REF!</v>
      </c>
      <c r="CE34" s="564"/>
    </row>
    <row r="35" spans="2:83" ht="15.95" collapsed="1">
      <c r="B35" s="569"/>
      <c r="C35" s="252" t="s">
        <v>213</v>
      </c>
      <c r="D35" s="253"/>
      <c r="E35" s="254">
        <f t="shared" ref="E35:BX35" si="16">SUM(E36:E37)</f>
        <v>0</v>
      </c>
      <c r="F35" s="254">
        <f t="shared" si="16"/>
        <v>0</v>
      </c>
      <c r="G35" s="254">
        <f t="shared" si="16"/>
        <v>0</v>
      </c>
      <c r="H35" s="254">
        <f t="shared" si="16"/>
        <v>0</v>
      </c>
      <c r="I35" s="254">
        <f t="shared" si="16"/>
        <v>0</v>
      </c>
      <c r="J35" s="254">
        <f t="shared" si="16"/>
        <v>0</v>
      </c>
      <c r="K35" s="254">
        <f t="shared" si="16"/>
        <v>0</v>
      </c>
      <c r="L35" s="254">
        <f t="shared" si="16"/>
        <v>0</v>
      </c>
      <c r="M35" s="254">
        <f t="shared" si="16"/>
        <v>0</v>
      </c>
      <c r="N35" s="254">
        <f t="shared" si="16"/>
        <v>0</v>
      </c>
      <c r="O35" s="254">
        <f t="shared" si="16"/>
        <v>0</v>
      </c>
      <c r="P35" s="254">
        <f t="shared" si="16"/>
        <v>0</v>
      </c>
      <c r="Q35" s="254">
        <f t="shared" si="16"/>
        <v>0</v>
      </c>
      <c r="R35" s="254">
        <f t="shared" si="16"/>
        <v>0</v>
      </c>
      <c r="S35" s="254">
        <f t="shared" si="16"/>
        <v>0</v>
      </c>
      <c r="T35" s="254">
        <f t="shared" si="16"/>
        <v>0</v>
      </c>
      <c r="U35" s="254">
        <f t="shared" si="16"/>
        <v>0</v>
      </c>
      <c r="V35" s="254">
        <f t="shared" si="16"/>
        <v>0</v>
      </c>
      <c r="W35" s="254">
        <f t="shared" si="16"/>
        <v>0</v>
      </c>
      <c r="X35" s="254">
        <f t="shared" si="16"/>
        <v>0</v>
      </c>
      <c r="Y35" s="254">
        <f t="shared" si="16"/>
        <v>0</v>
      </c>
      <c r="Z35" s="254">
        <f t="shared" si="16"/>
        <v>0</v>
      </c>
      <c r="AA35" s="254">
        <f t="shared" si="16"/>
        <v>0</v>
      </c>
      <c r="AB35" s="254">
        <f t="shared" si="16"/>
        <v>0</v>
      </c>
      <c r="AC35" s="254">
        <f t="shared" si="16"/>
        <v>0</v>
      </c>
      <c r="AD35" s="254">
        <f t="shared" si="16"/>
        <v>-1901500</v>
      </c>
      <c r="AE35" s="254">
        <f t="shared" si="16"/>
        <v>-1901500</v>
      </c>
      <c r="AF35" s="254">
        <f t="shared" si="16"/>
        <v>-1901500</v>
      </c>
      <c r="AG35" s="254">
        <f t="shared" si="16"/>
        <v>-1901500</v>
      </c>
      <c r="AH35" s="254">
        <f t="shared" si="16"/>
        <v>-1901500</v>
      </c>
      <c r="AI35" s="254">
        <f t="shared" si="16"/>
        <v>0</v>
      </c>
      <c r="AJ35" s="254">
        <f t="shared" si="16"/>
        <v>0</v>
      </c>
      <c r="AK35" s="254">
        <f t="shared" si="16"/>
        <v>0</v>
      </c>
      <c r="AL35" s="254">
        <f t="shared" si="16"/>
        <v>0</v>
      </c>
      <c r="AM35" s="254">
        <f t="shared" si="16"/>
        <v>0</v>
      </c>
      <c r="AN35" s="254">
        <f t="shared" si="16"/>
        <v>0</v>
      </c>
      <c r="AO35" s="254">
        <f t="shared" si="16"/>
        <v>0</v>
      </c>
      <c r="AP35" s="254">
        <f t="shared" si="16"/>
        <v>0</v>
      </c>
      <c r="AQ35" s="254">
        <f t="shared" si="16"/>
        <v>0</v>
      </c>
      <c r="AR35" s="254">
        <f t="shared" si="16"/>
        <v>0</v>
      </c>
      <c r="AS35" s="254">
        <f t="shared" si="16"/>
        <v>0</v>
      </c>
      <c r="AT35" s="254">
        <f t="shared" si="16"/>
        <v>0</v>
      </c>
      <c r="AU35" s="254">
        <f t="shared" si="16"/>
        <v>0</v>
      </c>
      <c r="AV35" s="254">
        <f t="shared" si="16"/>
        <v>0</v>
      </c>
      <c r="AW35" s="254">
        <f t="shared" si="16"/>
        <v>0</v>
      </c>
      <c r="AX35" s="254">
        <f t="shared" si="16"/>
        <v>0</v>
      </c>
      <c r="AY35" s="254">
        <f t="shared" si="16"/>
        <v>0</v>
      </c>
      <c r="AZ35" s="254">
        <f t="shared" si="16"/>
        <v>0</v>
      </c>
      <c r="BA35" s="254">
        <f t="shared" si="16"/>
        <v>0</v>
      </c>
      <c r="BB35" s="254">
        <f t="shared" si="16"/>
        <v>0</v>
      </c>
      <c r="BC35" s="254">
        <f t="shared" si="16"/>
        <v>0</v>
      </c>
      <c r="BD35" s="254">
        <f t="shared" si="16"/>
        <v>0</v>
      </c>
      <c r="BE35" s="254">
        <f t="shared" si="16"/>
        <v>0</v>
      </c>
      <c r="BF35" s="254">
        <f t="shared" si="16"/>
        <v>0</v>
      </c>
      <c r="BG35" s="254">
        <f t="shared" si="16"/>
        <v>0</v>
      </c>
      <c r="BH35" s="254">
        <f t="shared" si="16"/>
        <v>0</v>
      </c>
      <c r="BI35" s="254">
        <f t="shared" si="16"/>
        <v>0</v>
      </c>
      <c r="BJ35" s="254">
        <f t="shared" si="16"/>
        <v>0</v>
      </c>
      <c r="BK35" s="254">
        <f t="shared" si="16"/>
        <v>0</v>
      </c>
      <c r="BL35" s="254">
        <f t="shared" si="16"/>
        <v>0</v>
      </c>
      <c r="BM35" s="254">
        <f t="shared" si="16"/>
        <v>0</v>
      </c>
      <c r="BN35" s="254">
        <f t="shared" si="16"/>
        <v>0</v>
      </c>
      <c r="BO35" s="254">
        <f t="shared" si="16"/>
        <v>0</v>
      </c>
      <c r="BP35" s="254">
        <f t="shared" si="16"/>
        <v>0</v>
      </c>
      <c r="BQ35" s="254">
        <f t="shared" si="16"/>
        <v>0</v>
      </c>
      <c r="BR35" s="254">
        <f t="shared" si="16"/>
        <v>0</v>
      </c>
      <c r="BS35" s="254">
        <f t="shared" si="16"/>
        <v>0</v>
      </c>
      <c r="BT35" s="254">
        <f t="shared" si="16"/>
        <v>0</v>
      </c>
      <c r="BU35" s="254">
        <f t="shared" si="16"/>
        <v>0</v>
      </c>
      <c r="BV35" s="254">
        <f t="shared" si="16"/>
        <v>0</v>
      </c>
      <c r="BW35" s="254">
        <f t="shared" si="16"/>
        <v>0</v>
      </c>
      <c r="BX35" s="254">
        <f t="shared" si="16"/>
        <v>0</v>
      </c>
      <c r="BY35" s="256">
        <f>SUM(BY36:BY37)</f>
        <v>-9507500</v>
      </c>
      <c r="BZ35" s="564"/>
      <c r="CA35" s="229"/>
      <c r="CB35" s="229"/>
      <c r="CC35" s="229"/>
      <c r="CD35" s="256" t="e">
        <f t="array" aca="1" ref="CD35" ca="1">SUM(INDEX(E35:BX35, , 1):INDEX(E35:BX35, ,MATCH($CD$4, $E$3:$BX$3,0) ))</f>
        <v>#N/A</v>
      </c>
      <c r="CE35" s="564"/>
    </row>
    <row r="36" spans="2:83" ht="15.95" hidden="1" outlineLevel="1">
      <c r="B36" s="569"/>
      <c r="C36" s="257" t="s">
        <v>214</v>
      </c>
      <c r="D36" s="258" t="s">
        <v>191</v>
      </c>
      <c r="E36" s="259"/>
      <c r="F36" s="259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70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>
        <f>-Businessplan_prodej!$F$46/5</f>
        <v>-1901500</v>
      </c>
      <c r="AE36" s="259">
        <f>-Businessplan_prodej!$F$46/5</f>
        <v>-1901500</v>
      </c>
      <c r="AF36" s="259">
        <f>-Businessplan_prodej!$F$46/5</f>
        <v>-1901500</v>
      </c>
      <c r="AG36" s="259">
        <f>-Businessplan_prodej!$F$46/5</f>
        <v>-1901500</v>
      </c>
      <c r="AH36" s="259">
        <f>-Businessplan_prodej!$F$46/5</f>
        <v>-1901500</v>
      </c>
      <c r="AI36" s="259"/>
      <c r="AJ36" s="259"/>
      <c r="AK36" s="259"/>
      <c r="AL36" s="259"/>
      <c r="AM36" s="259"/>
      <c r="AN36" s="259"/>
      <c r="AO36" s="259"/>
      <c r="AP36" s="259"/>
      <c r="AQ36" s="259"/>
      <c r="AR36" s="259"/>
      <c r="AS36" s="259"/>
      <c r="AT36" s="259"/>
      <c r="AU36" s="259"/>
      <c r="AV36" s="259"/>
      <c r="AW36" s="259"/>
      <c r="AX36" s="259"/>
      <c r="AY36" s="259"/>
      <c r="AZ36" s="259"/>
      <c r="BA36" s="259"/>
      <c r="BB36" s="259"/>
      <c r="BC36" s="259"/>
      <c r="BD36" s="259"/>
      <c r="BE36" s="259"/>
      <c r="BF36" s="259"/>
      <c r="BG36" s="259"/>
      <c r="BH36" s="259"/>
      <c r="BI36" s="259"/>
      <c r="BJ36" s="259"/>
      <c r="BK36" s="259"/>
      <c r="BL36" s="259"/>
      <c r="BM36" s="259"/>
      <c r="BN36" s="259"/>
      <c r="BO36" s="259"/>
      <c r="BP36" s="259"/>
      <c r="BQ36" s="259"/>
      <c r="BR36" s="259"/>
      <c r="BS36" s="259"/>
      <c r="BT36" s="259"/>
      <c r="BU36" s="259"/>
      <c r="BV36" s="259"/>
      <c r="BW36" s="259"/>
      <c r="BX36" s="265"/>
      <c r="BY36" s="266">
        <f t="shared" ref="BY36:BY37" si="17">SUM(E36:BX36)</f>
        <v>-9507500</v>
      </c>
      <c r="BZ36" s="564"/>
      <c r="CA36" s="229"/>
      <c r="CB36" s="229"/>
      <c r="CC36" s="229"/>
      <c r="CD36" s="256" t="e">
        <f t="array" aca="1" ref="CD36" ca="1">SUM(INDEX(AF36:BX36, , 1):INDEX(AF36:BX36, ,MATCH(#REF!, $E$3:$BX$3,0) ))</f>
        <v>#REF!</v>
      </c>
      <c r="CE36" s="564"/>
    </row>
    <row r="37" spans="2:83" ht="15.95" hidden="1" outlineLevel="1">
      <c r="B37" s="569"/>
      <c r="C37" s="257" t="s">
        <v>215</v>
      </c>
      <c r="D37" s="261" t="s">
        <v>191</v>
      </c>
      <c r="E37" s="259"/>
      <c r="F37" s="259"/>
      <c r="G37" s="259"/>
      <c r="H37" s="259"/>
      <c r="I37" s="259"/>
      <c r="J37" s="259"/>
      <c r="K37" s="259"/>
      <c r="L37" s="259"/>
      <c r="M37" s="259"/>
      <c r="N37" s="259"/>
      <c r="O37" s="259"/>
      <c r="P37" s="259"/>
      <c r="Q37" s="259"/>
      <c r="R37" s="259"/>
      <c r="S37" s="270"/>
      <c r="T37" s="259"/>
      <c r="U37" s="259"/>
      <c r="V37" s="259"/>
      <c r="W37" s="259"/>
      <c r="X37" s="259"/>
      <c r="Y37" s="259"/>
      <c r="Z37" s="259"/>
      <c r="AA37" s="259"/>
      <c r="AB37" s="259"/>
      <c r="AC37" s="259"/>
      <c r="AD37" s="259"/>
      <c r="AE37" s="259"/>
      <c r="AF37" s="259"/>
      <c r="AG37" s="259"/>
      <c r="AH37" s="259"/>
      <c r="AI37" s="259"/>
      <c r="AJ37" s="259"/>
      <c r="AK37" s="259"/>
      <c r="AL37" s="259"/>
      <c r="AM37" s="259"/>
      <c r="AN37" s="259"/>
      <c r="AO37" s="259"/>
      <c r="AP37" s="259"/>
      <c r="AQ37" s="259"/>
      <c r="AR37" s="259"/>
      <c r="AS37" s="259"/>
      <c r="AT37" s="259"/>
      <c r="AU37" s="259"/>
      <c r="AV37" s="259"/>
      <c r="AW37" s="259"/>
      <c r="AX37" s="259"/>
      <c r="AY37" s="259"/>
      <c r="AZ37" s="259"/>
      <c r="BA37" s="259"/>
      <c r="BB37" s="259"/>
      <c r="BC37" s="259"/>
      <c r="BD37" s="259"/>
      <c r="BE37" s="259"/>
      <c r="BF37" s="259"/>
      <c r="BG37" s="259"/>
      <c r="BH37" s="259"/>
      <c r="BI37" s="259"/>
      <c r="BJ37" s="259"/>
      <c r="BK37" s="259"/>
      <c r="BL37" s="259"/>
      <c r="BM37" s="259"/>
      <c r="BN37" s="259"/>
      <c r="BO37" s="259"/>
      <c r="BP37" s="259"/>
      <c r="BQ37" s="259"/>
      <c r="BR37" s="259"/>
      <c r="BS37" s="259"/>
      <c r="BT37" s="259"/>
      <c r="BU37" s="259"/>
      <c r="BV37" s="259"/>
      <c r="BW37" s="259"/>
      <c r="BX37" s="265"/>
      <c r="BY37" s="269">
        <f t="shared" si="17"/>
        <v>0</v>
      </c>
      <c r="BZ37" s="564"/>
      <c r="CA37" s="229"/>
      <c r="CB37" s="229"/>
      <c r="CC37" s="229"/>
      <c r="CD37" s="256" t="e">
        <f t="array" aca="1" ref="CD37" ca="1">SUM(INDEX(AC37:BX37, , 1):INDEX(AC37:BX37, ,MATCH(#REF!, $E$3:$BX$3,0) ))</f>
        <v>#REF!</v>
      </c>
      <c r="CE37" s="564"/>
    </row>
    <row r="38" spans="2:83" ht="15.95">
      <c r="B38" s="569"/>
      <c r="C38" s="252" t="s">
        <v>216</v>
      </c>
      <c r="D38" s="253"/>
      <c r="E38" s="254">
        <f t="shared" ref="E38:BX38" si="18">SUM(E39:E47)</f>
        <v>0</v>
      </c>
      <c r="F38" s="254">
        <f t="shared" si="18"/>
        <v>0</v>
      </c>
      <c r="G38" s="254">
        <f t="shared" si="18"/>
        <v>0</v>
      </c>
      <c r="H38" s="254">
        <f t="shared" si="18"/>
        <v>0</v>
      </c>
      <c r="I38" s="254">
        <f t="shared" si="18"/>
        <v>-87324</v>
      </c>
      <c r="J38" s="254">
        <f t="shared" si="18"/>
        <v>0</v>
      </c>
      <c r="K38" s="254">
        <f t="shared" si="18"/>
        <v>0</v>
      </c>
      <c r="L38" s="254">
        <f t="shared" si="18"/>
        <v>-23422</v>
      </c>
      <c r="M38" s="254">
        <f t="shared" si="18"/>
        <v>0</v>
      </c>
      <c r="N38" s="254">
        <f t="shared" si="18"/>
        <v>-11600</v>
      </c>
      <c r="O38" s="254">
        <f t="shared" si="18"/>
        <v>-246506.34782608697</v>
      </c>
      <c r="P38" s="254">
        <f t="shared" si="18"/>
        <v>-82168.782608695648</v>
      </c>
      <c r="Q38" s="254">
        <f t="shared" si="18"/>
        <v>-173248.78260869565</v>
      </c>
      <c r="R38" s="254">
        <f t="shared" si="18"/>
        <v>-150478.78260869565</v>
      </c>
      <c r="S38" s="254">
        <f t="shared" si="18"/>
        <v>-82168.782608695648</v>
      </c>
      <c r="T38" s="254">
        <f t="shared" si="18"/>
        <v>-82168.782608695648</v>
      </c>
      <c r="U38" s="254">
        <f t="shared" si="18"/>
        <v>-82168.782608695648</v>
      </c>
      <c r="V38" s="254">
        <f t="shared" si="18"/>
        <v>-951237.03260869568</v>
      </c>
      <c r="W38" s="254">
        <f t="shared" si="18"/>
        <v>-82168.782608695648</v>
      </c>
      <c r="X38" s="254">
        <f t="shared" si="18"/>
        <v>-82168.782608695648</v>
      </c>
      <c r="Y38" s="254">
        <f t="shared" si="18"/>
        <v>-82168.782608695648</v>
      </c>
      <c r="Z38" s="254">
        <f t="shared" si="18"/>
        <v>-82168.782608695648</v>
      </c>
      <c r="AA38" s="254">
        <f t="shared" si="18"/>
        <v>-82168.782608695648</v>
      </c>
      <c r="AB38" s="254">
        <f t="shared" si="18"/>
        <v>-82168.782608695648</v>
      </c>
      <c r="AC38" s="254">
        <f t="shared" si="18"/>
        <v>-82168.782608695648</v>
      </c>
      <c r="AD38" s="254">
        <f t="shared" si="18"/>
        <v>-82168.782608695648</v>
      </c>
      <c r="AE38" s="254">
        <f t="shared" si="18"/>
        <v>-791847.03260869568</v>
      </c>
      <c r="AF38" s="254">
        <f t="shared" si="18"/>
        <v>-82168.782608695648</v>
      </c>
      <c r="AG38" s="254">
        <f t="shared" si="18"/>
        <v>-82168.782608695648</v>
      </c>
      <c r="AH38" s="254">
        <f t="shared" si="18"/>
        <v>-127708.78260869565</v>
      </c>
      <c r="AI38" s="254">
        <f t="shared" si="18"/>
        <v>-173248.78260869565</v>
      </c>
      <c r="AJ38" s="254">
        <f t="shared" si="18"/>
        <v>0</v>
      </c>
      <c r="AK38" s="254">
        <f t="shared" si="18"/>
        <v>0</v>
      </c>
      <c r="AL38" s="254">
        <f t="shared" si="18"/>
        <v>0</v>
      </c>
      <c r="AM38" s="254">
        <f t="shared" si="18"/>
        <v>0</v>
      </c>
      <c r="AN38" s="254">
        <f t="shared" si="18"/>
        <v>0</v>
      </c>
      <c r="AO38" s="254">
        <f t="shared" si="18"/>
        <v>0</v>
      </c>
      <c r="AP38" s="254">
        <f t="shared" si="18"/>
        <v>0</v>
      </c>
      <c r="AQ38" s="254">
        <f t="shared" si="18"/>
        <v>0</v>
      </c>
      <c r="AR38" s="254">
        <f t="shared" si="18"/>
        <v>0</v>
      </c>
      <c r="AS38" s="254">
        <f t="shared" si="18"/>
        <v>0</v>
      </c>
      <c r="AT38" s="254">
        <f t="shared" si="18"/>
        <v>0</v>
      </c>
      <c r="AU38" s="254">
        <f t="shared" si="18"/>
        <v>0</v>
      </c>
      <c r="AV38" s="254">
        <f t="shared" si="18"/>
        <v>0</v>
      </c>
      <c r="AW38" s="254">
        <f t="shared" si="18"/>
        <v>0</v>
      </c>
      <c r="AX38" s="254">
        <f t="shared" si="18"/>
        <v>0</v>
      </c>
      <c r="AY38" s="254">
        <f t="shared" si="18"/>
        <v>0</v>
      </c>
      <c r="AZ38" s="254">
        <f t="shared" si="18"/>
        <v>0</v>
      </c>
      <c r="BA38" s="254">
        <f t="shared" si="18"/>
        <v>0</v>
      </c>
      <c r="BB38" s="254">
        <f t="shared" si="18"/>
        <v>0</v>
      </c>
      <c r="BC38" s="254">
        <f t="shared" si="18"/>
        <v>0</v>
      </c>
      <c r="BD38" s="254">
        <f t="shared" si="18"/>
        <v>0</v>
      </c>
      <c r="BE38" s="254">
        <f t="shared" si="18"/>
        <v>0</v>
      </c>
      <c r="BF38" s="254">
        <f t="shared" si="18"/>
        <v>0</v>
      </c>
      <c r="BG38" s="254">
        <f t="shared" si="18"/>
        <v>0</v>
      </c>
      <c r="BH38" s="254">
        <f t="shared" si="18"/>
        <v>0</v>
      </c>
      <c r="BI38" s="254">
        <f t="shared" si="18"/>
        <v>0</v>
      </c>
      <c r="BJ38" s="254">
        <f t="shared" si="18"/>
        <v>0</v>
      </c>
      <c r="BK38" s="254">
        <f t="shared" si="18"/>
        <v>0</v>
      </c>
      <c r="BL38" s="254">
        <f t="shared" si="18"/>
        <v>0</v>
      </c>
      <c r="BM38" s="254">
        <f t="shared" si="18"/>
        <v>0</v>
      </c>
      <c r="BN38" s="254">
        <f t="shared" si="18"/>
        <v>0</v>
      </c>
      <c r="BO38" s="254">
        <f t="shared" si="18"/>
        <v>0</v>
      </c>
      <c r="BP38" s="254">
        <f t="shared" si="18"/>
        <v>0</v>
      </c>
      <c r="BQ38" s="254">
        <f t="shared" si="18"/>
        <v>0</v>
      </c>
      <c r="BR38" s="254">
        <f t="shared" si="18"/>
        <v>0</v>
      </c>
      <c r="BS38" s="254">
        <f t="shared" si="18"/>
        <v>0</v>
      </c>
      <c r="BT38" s="254">
        <f t="shared" si="18"/>
        <v>0</v>
      </c>
      <c r="BU38" s="254">
        <f t="shared" si="18"/>
        <v>0</v>
      </c>
      <c r="BV38" s="254">
        <f t="shared" si="18"/>
        <v>0</v>
      </c>
      <c r="BW38" s="254">
        <f t="shared" si="18"/>
        <v>0</v>
      </c>
      <c r="BX38" s="254">
        <f t="shared" si="18"/>
        <v>0</v>
      </c>
      <c r="BY38" s="256">
        <f>SUM(BY39:BY47)</f>
        <v>-3886984.5000000005</v>
      </c>
      <c r="BZ38" s="564"/>
      <c r="CA38" s="229"/>
      <c r="CB38" s="229"/>
      <c r="CC38" s="229"/>
      <c r="CD38" s="256" t="e">
        <f t="array" aca="1" ref="CD38" ca="1">SUM(INDEX(E38:BX38, , 1):INDEX(E38:BX38, ,MATCH($CD$4, $E$3:$BX$3,0) ))</f>
        <v>#N/A</v>
      </c>
      <c r="CE38" s="564"/>
    </row>
    <row r="39" spans="2:83" ht="15.95" outlineLevel="1">
      <c r="B39" s="569"/>
      <c r="C39" s="268" t="s">
        <v>217</v>
      </c>
      <c r="D39" s="258" t="s">
        <v>191</v>
      </c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>
        <f>-Businessplan_prodej!$F$54/23*3</f>
        <v>-220565.21739130435</v>
      </c>
      <c r="P39" s="262">
        <f>-Businessplan_prodej!$F$54/23</f>
        <v>-73521.739130434784</v>
      </c>
      <c r="Q39" s="262">
        <f>-Businessplan_prodej!$F$54/23</f>
        <v>-73521.739130434784</v>
      </c>
      <c r="R39" s="262">
        <f>-Businessplan_prodej!$F$54/23</f>
        <v>-73521.739130434784</v>
      </c>
      <c r="S39" s="262">
        <f>-Businessplan_prodej!$F$54/23</f>
        <v>-73521.739130434784</v>
      </c>
      <c r="T39" s="262">
        <f>-Businessplan_prodej!$F$54/23</f>
        <v>-73521.739130434784</v>
      </c>
      <c r="U39" s="262">
        <f>-Businessplan_prodej!$F$54/23</f>
        <v>-73521.739130434784</v>
      </c>
      <c r="V39" s="262">
        <f>-Businessplan_prodej!$F$54/23</f>
        <v>-73521.739130434784</v>
      </c>
      <c r="W39" s="262">
        <f>-Businessplan_prodej!$F$54/23</f>
        <v>-73521.739130434784</v>
      </c>
      <c r="X39" s="262">
        <f>-Businessplan_prodej!$F$54/23</f>
        <v>-73521.739130434784</v>
      </c>
      <c r="Y39" s="262">
        <f>-Businessplan_prodej!$F$54/23</f>
        <v>-73521.739130434784</v>
      </c>
      <c r="Z39" s="262">
        <f>-Businessplan_prodej!$F$54/23</f>
        <v>-73521.739130434784</v>
      </c>
      <c r="AA39" s="262">
        <f>-Businessplan_prodej!$F$54/23</f>
        <v>-73521.739130434784</v>
      </c>
      <c r="AB39" s="262">
        <f>-Businessplan_prodej!$F$54/23</f>
        <v>-73521.739130434784</v>
      </c>
      <c r="AC39" s="262">
        <f>-Businessplan_prodej!$F$54/23</f>
        <v>-73521.739130434784</v>
      </c>
      <c r="AD39" s="262">
        <f>-Businessplan_prodej!$F$54/23</f>
        <v>-73521.739130434784</v>
      </c>
      <c r="AE39" s="262">
        <f>-Businessplan_prodej!$F$54/23</f>
        <v>-73521.739130434784</v>
      </c>
      <c r="AF39" s="262">
        <f>-Businessplan_prodej!$F$54/23</f>
        <v>-73521.739130434784</v>
      </c>
      <c r="AG39" s="262">
        <f>-Businessplan_prodej!$F$54/23</f>
        <v>-73521.739130434784</v>
      </c>
      <c r="AH39" s="262">
        <f>-Businessplan_prodej!$F$54/23</f>
        <v>-73521.739130434784</v>
      </c>
      <c r="AI39" s="262">
        <f>-Businessplan_prodej!$F$54/23</f>
        <v>-73521.739130434784</v>
      </c>
      <c r="AJ39" s="262"/>
      <c r="AK39" s="262"/>
      <c r="AL39" s="262"/>
      <c r="AM39" s="262"/>
      <c r="AN39" s="262"/>
      <c r="AO39" s="262"/>
      <c r="AP39" s="262"/>
      <c r="AQ39" s="262"/>
      <c r="AR39" s="262"/>
      <c r="AS39" s="262"/>
      <c r="AT39" s="262"/>
      <c r="AU39" s="262"/>
      <c r="AV39" s="262"/>
      <c r="AW39" s="262"/>
      <c r="AX39" s="262"/>
      <c r="AY39" s="262"/>
      <c r="AZ39" s="262"/>
      <c r="BA39" s="262"/>
      <c r="BB39" s="262"/>
      <c r="BC39" s="262"/>
      <c r="BD39" s="262"/>
      <c r="BE39" s="262"/>
      <c r="BF39" s="262"/>
      <c r="BG39" s="262"/>
      <c r="BH39" s="262"/>
      <c r="BI39" s="262"/>
      <c r="BJ39" s="262"/>
      <c r="BK39" s="262"/>
      <c r="BL39" s="262"/>
      <c r="BM39" s="262"/>
      <c r="BN39" s="262"/>
      <c r="BO39" s="262"/>
      <c r="BP39" s="262"/>
      <c r="BQ39" s="262"/>
      <c r="BR39" s="262"/>
      <c r="BS39" s="262"/>
      <c r="BT39" s="262"/>
      <c r="BU39" s="262"/>
      <c r="BV39" s="262"/>
      <c r="BW39" s="262"/>
      <c r="BX39" s="271"/>
      <c r="BY39" s="266">
        <f t="shared" ref="BY39:BY47" si="19">SUM(E39:BX39)</f>
        <v>-1691000.0000000005</v>
      </c>
      <c r="BZ39" s="564"/>
      <c r="CA39" s="229"/>
      <c r="CB39" s="229"/>
      <c r="CC39" s="229"/>
      <c r="CD39" s="256" t="e">
        <f t="shared" ref="CD39:CD41" ca="1" si="20">SUM(INDEX(AC39:BX39, , 1):INDEX(AC39:BX39, ,MATCH(#REF!, $E$3:$BX$3,0) ))</f>
        <v>#REF!</v>
      </c>
      <c r="CE39" s="564"/>
    </row>
    <row r="40" spans="2:83" ht="15.95" outlineLevel="1">
      <c r="B40" s="569"/>
      <c r="C40" s="268" t="s">
        <v>218</v>
      </c>
      <c r="D40" s="258" t="s">
        <v>191</v>
      </c>
      <c r="E40" s="262"/>
      <c r="F40" s="262"/>
      <c r="G40" s="262"/>
      <c r="H40" s="262"/>
      <c r="I40" s="262"/>
      <c r="J40" s="262"/>
      <c r="K40" s="262"/>
      <c r="L40" s="262"/>
      <c r="M40" s="262"/>
      <c r="N40" s="262">
        <f>-Businessplan_prodej!$F$56-200</f>
        <v>-200</v>
      </c>
      <c r="O40" s="262"/>
      <c r="P40" s="263"/>
      <c r="Q40" s="263"/>
      <c r="R40" s="263"/>
      <c r="S40" s="263"/>
      <c r="T40" s="272">
        <f>-Businessplan_prodej!$F$57/7</f>
        <v>0</v>
      </c>
      <c r="U40" s="272">
        <f>-Businessplan_prodej!$F$57/7</f>
        <v>0</v>
      </c>
      <c r="V40" s="272">
        <f>-Businessplan_prodej!$F$57/7</f>
        <v>0</v>
      </c>
      <c r="W40" s="272">
        <f>-Businessplan_prodej!$F$57/7</f>
        <v>0</v>
      </c>
      <c r="X40" s="272">
        <f>-Businessplan_prodej!$F$57/7</f>
        <v>0</v>
      </c>
      <c r="Y40" s="272">
        <f>-Businessplan_prodej!$F$57/7</f>
        <v>0</v>
      </c>
      <c r="Z40" s="272">
        <f>-Businessplan_prodej!$F$57/7</f>
        <v>0</v>
      </c>
      <c r="AA40" s="272">
        <f>-Businessplan_prodej!$F$58/9</f>
        <v>0</v>
      </c>
      <c r="AB40" s="272">
        <f>-Businessplan_prodej!$F$58/9</f>
        <v>0</v>
      </c>
      <c r="AC40" s="272">
        <f>-Businessplan_prodej!$F$58/9</f>
        <v>0</v>
      </c>
      <c r="AD40" s="272">
        <f>-Businessplan_prodej!$F$58/9</f>
        <v>0</v>
      </c>
      <c r="AE40" s="272">
        <f>-Businessplan_prodej!$F$58/9</f>
        <v>0</v>
      </c>
      <c r="AF40" s="272">
        <f>-Businessplan_prodej!$F$58/9</f>
        <v>0</v>
      </c>
      <c r="AG40" s="272">
        <f>-Businessplan_prodej!$F$58/9</f>
        <v>0</v>
      </c>
      <c r="AH40" s="272">
        <f>-Businessplan_prodej!$F$58/9</f>
        <v>0</v>
      </c>
      <c r="AI40" s="272">
        <f>-Businessplan_prodej!$F$58/9</f>
        <v>0</v>
      </c>
      <c r="AJ40" s="262"/>
      <c r="AK40" s="262"/>
      <c r="AL40" s="262"/>
      <c r="AM40" s="262"/>
      <c r="AN40" s="262"/>
      <c r="AO40" s="262"/>
      <c r="AP40" s="262"/>
      <c r="AQ40" s="262"/>
      <c r="AR40" s="262"/>
      <c r="AS40" s="262"/>
      <c r="AT40" s="262"/>
      <c r="AU40" s="262"/>
      <c r="AV40" s="262"/>
      <c r="AW40" s="262"/>
      <c r="AX40" s="262"/>
      <c r="AY40" s="262"/>
      <c r="AZ40" s="262"/>
      <c r="BA40" s="262"/>
      <c r="BB40" s="262"/>
      <c r="BC40" s="262"/>
      <c r="BD40" s="262"/>
      <c r="BE40" s="262"/>
      <c r="BF40" s="262"/>
      <c r="BG40" s="262"/>
      <c r="BH40" s="262"/>
      <c r="BI40" s="262"/>
      <c r="BJ40" s="262"/>
      <c r="BK40" s="262"/>
      <c r="BL40" s="262"/>
      <c r="BM40" s="262"/>
      <c r="BN40" s="262"/>
      <c r="BO40" s="262"/>
      <c r="BP40" s="262"/>
      <c r="BQ40" s="262"/>
      <c r="BR40" s="262"/>
      <c r="BS40" s="262"/>
      <c r="BT40" s="262"/>
      <c r="BU40" s="262"/>
      <c r="BV40" s="262"/>
      <c r="BW40" s="262"/>
      <c r="BX40" s="271"/>
      <c r="BY40" s="267">
        <f t="shared" si="19"/>
        <v>-200</v>
      </c>
      <c r="BZ40" s="564"/>
      <c r="CA40" s="229"/>
      <c r="CB40" s="229"/>
      <c r="CC40" s="229"/>
      <c r="CD40" s="256" t="e">
        <f t="shared" ca="1" si="20"/>
        <v>#REF!</v>
      </c>
      <c r="CE40" s="564"/>
    </row>
    <row r="41" spans="2:83" ht="15.95" outlineLevel="1">
      <c r="B41" s="569"/>
      <c r="C41" s="268" t="s">
        <v>219</v>
      </c>
      <c r="D41" s="258" t="s">
        <v>191</v>
      </c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73"/>
      <c r="T41" s="262"/>
      <c r="U41" s="262"/>
      <c r="V41" s="262"/>
      <c r="W41" s="262"/>
      <c r="X41" s="262"/>
      <c r="Y41" s="262">
        <f>-Businessplan_prodej!$F$61</f>
        <v>0</v>
      </c>
      <c r="Z41" s="262">
        <f>-Businessplan_prodej!$F$62/9</f>
        <v>0</v>
      </c>
      <c r="AA41" s="262">
        <f>-Businessplan_prodej!$F$62/9</f>
        <v>0</v>
      </c>
      <c r="AB41" s="262">
        <f>-Businessplan_prodej!$F$62/9</f>
        <v>0</v>
      </c>
      <c r="AC41" s="262">
        <f>-Businessplan_prodej!$F$62/9</f>
        <v>0</v>
      </c>
      <c r="AD41" s="262">
        <f>-Businessplan_prodej!$F$62/9</f>
        <v>0</v>
      </c>
      <c r="AE41" s="262">
        <f>-Businessplan_prodej!$F$62/9</f>
        <v>0</v>
      </c>
      <c r="AF41" s="262">
        <f>-Businessplan_prodej!$F$62/9</f>
        <v>0</v>
      </c>
      <c r="AG41" s="262">
        <f>-Businessplan_prodej!$F$62/9</f>
        <v>0</v>
      </c>
      <c r="AH41" s="262">
        <f>-Businessplan_prodej!$F$62/9</f>
        <v>0</v>
      </c>
      <c r="AI41" s="262"/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71"/>
      <c r="BY41" s="267">
        <f t="shared" si="19"/>
        <v>0</v>
      </c>
      <c r="BZ41" s="564"/>
      <c r="CA41" s="229"/>
      <c r="CB41" s="229"/>
      <c r="CC41" s="229"/>
      <c r="CD41" s="256" t="e">
        <f t="shared" ca="1" si="20"/>
        <v>#REF!</v>
      </c>
      <c r="CE41" s="564"/>
    </row>
    <row r="42" spans="2:83" ht="15.95" outlineLevel="1">
      <c r="B42" s="569"/>
      <c r="C42" s="268" t="s">
        <v>220</v>
      </c>
      <c r="D42" s="258" t="s">
        <v>191</v>
      </c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73"/>
      <c r="T42" s="262"/>
      <c r="U42" s="262"/>
      <c r="V42" s="262"/>
      <c r="W42" s="262"/>
      <c r="X42" s="262"/>
      <c r="Y42" s="262"/>
      <c r="Z42" s="262">
        <f>-Businessplan_prodej!$F$63/9</f>
        <v>0</v>
      </c>
      <c r="AA42" s="262">
        <f>-Businessplan_prodej!$F$63/9</f>
        <v>0</v>
      </c>
      <c r="AB42" s="262">
        <f>-Businessplan_prodej!$F$63/9</f>
        <v>0</v>
      </c>
      <c r="AC42" s="262">
        <f>-Businessplan_prodej!$F$63/9</f>
        <v>0</v>
      </c>
      <c r="AD42" s="262">
        <f>-Businessplan_prodej!$F$63/9</f>
        <v>0</v>
      </c>
      <c r="AE42" s="262">
        <f>-Businessplan_prodej!$F$63/9</f>
        <v>0</v>
      </c>
      <c r="AF42" s="262">
        <f>-Businessplan_prodej!$F$63/9</f>
        <v>0</v>
      </c>
      <c r="AG42" s="262">
        <f>-Businessplan_prodej!$F$63/9</f>
        <v>0</v>
      </c>
      <c r="AH42" s="262">
        <f>-Businessplan_prodej!$F$63/9</f>
        <v>0</v>
      </c>
      <c r="AI42" s="262"/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262"/>
      <c r="BD42" s="262"/>
      <c r="BE42" s="262"/>
      <c r="BF42" s="262"/>
      <c r="BG42" s="262"/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71"/>
      <c r="BY42" s="267">
        <f t="shared" si="19"/>
        <v>0</v>
      </c>
      <c r="BZ42" s="564"/>
      <c r="CA42" s="229"/>
      <c r="CB42" s="229"/>
      <c r="CC42" s="229"/>
      <c r="CD42" s="256"/>
      <c r="CE42" s="564"/>
    </row>
    <row r="43" spans="2:83" ht="15.95" outlineLevel="1">
      <c r="B43" s="569"/>
      <c r="C43" s="257" t="s">
        <v>221</v>
      </c>
      <c r="D43" s="258" t="s">
        <v>191</v>
      </c>
      <c r="E43" s="259"/>
      <c r="F43" s="259"/>
      <c r="G43" s="259"/>
      <c r="H43" s="259"/>
      <c r="I43" s="259"/>
      <c r="J43" s="259"/>
      <c r="K43" s="259"/>
      <c r="L43" s="259">
        <f>-6028</f>
        <v>-6028</v>
      </c>
      <c r="M43" s="259"/>
      <c r="N43" s="259"/>
      <c r="O43" s="259">
        <f>-Businessplan_prodej!$F$64/23*3</f>
        <v>-19800</v>
      </c>
      <c r="P43" s="259">
        <f>-Businessplan_prodej!$F$64/23</f>
        <v>-6600</v>
      </c>
      <c r="Q43" s="259">
        <f>-Businessplan_prodej!$F$64/23</f>
        <v>-6600</v>
      </c>
      <c r="R43" s="259">
        <f>-Businessplan_prodej!$F$64/23</f>
        <v>-6600</v>
      </c>
      <c r="S43" s="259">
        <f>-Businessplan_prodej!$F$64/23</f>
        <v>-6600</v>
      </c>
      <c r="T43" s="259">
        <f>-Businessplan_prodej!$F$64/23</f>
        <v>-6600</v>
      </c>
      <c r="U43" s="259">
        <f>-Businessplan_prodej!$F$64/23</f>
        <v>-6600</v>
      </c>
      <c r="V43" s="259">
        <f>-Businessplan_prodej!$F$64/23</f>
        <v>-6600</v>
      </c>
      <c r="W43" s="259">
        <f>-Businessplan_prodej!$F$64/23</f>
        <v>-6600</v>
      </c>
      <c r="X43" s="259">
        <f>-Businessplan_prodej!$F$64/23</f>
        <v>-6600</v>
      </c>
      <c r="Y43" s="259">
        <f>-Businessplan_prodej!$F$64/23</f>
        <v>-6600</v>
      </c>
      <c r="Z43" s="259">
        <f>-Businessplan_prodej!$F$64/23</f>
        <v>-6600</v>
      </c>
      <c r="AA43" s="259">
        <f>-Businessplan_prodej!$F$64/23</f>
        <v>-6600</v>
      </c>
      <c r="AB43" s="259">
        <f>-Businessplan_prodej!$F$64/23</f>
        <v>-6600</v>
      </c>
      <c r="AC43" s="259">
        <f>-Businessplan_prodej!$F$64/23</f>
        <v>-6600</v>
      </c>
      <c r="AD43" s="259">
        <f>-Businessplan_prodej!$F$64/23</f>
        <v>-6600</v>
      </c>
      <c r="AE43" s="259">
        <f>-Businessplan_prodej!$F$64/23</f>
        <v>-6600</v>
      </c>
      <c r="AF43" s="259">
        <f>-Businessplan_prodej!$F$64/23</f>
        <v>-6600</v>
      </c>
      <c r="AG43" s="259">
        <f>-Businessplan_prodej!$F$64/23</f>
        <v>-6600</v>
      </c>
      <c r="AH43" s="259">
        <f>-Businessplan_prodej!$F$64/23</f>
        <v>-6600</v>
      </c>
      <c r="AI43" s="259">
        <f>-Businessplan_prodej!$F$64/23</f>
        <v>-6600</v>
      </c>
      <c r="AJ43" s="259"/>
      <c r="AK43" s="259"/>
      <c r="AL43" s="259"/>
      <c r="AM43" s="259"/>
      <c r="AN43" s="259"/>
      <c r="AO43" s="259"/>
      <c r="AP43" s="259"/>
      <c r="AQ43" s="259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59"/>
      <c r="BO43" s="259"/>
      <c r="BP43" s="259"/>
      <c r="BQ43" s="259"/>
      <c r="BR43" s="259"/>
      <c r="BS43" s="259"/>
      <c r="BT43" s="259"/>
      <c r="BU43" s="259"/>
      <c r="BV43" s="259"/>
      <c r="BW43" s="259"/>
      <c r="BX43" s="265"/>
      <c r="BY43" s="267">
        <f t="shared" si="19"/>
        <v>-157828</v>
      </c>
      <c r="BZ43" s="564"/>
      <c r="CA43" s="229"/>
      <c r="CB43" s="229"/>
      <c r="CC43" s="229"/>
      <c r="CD43" s="256" t="e">
        <f t="shared" ref="CD43:CD44" ca="1" si="21">SUM(INDEX(AC43:BX43, , 1):INDEX(AC43:BX43, ,MATCH(#REF!, $E$3:$BX$3,0) ))</f>
        <v>#REF!</v>
      </c>
      <c r="CE43" s="564"/>
    </row>
    <row r="44" spans="2:83" ht="15.95" outlineLevel="1">
      <c r="B44" s="569"/>
      <c r="C44" s="257" t="s">
        <v>222</v>
      </c>
      <c r="D44" s="258" t="s">
        <v>191</v>
      </c>
      <c r="E44" s="259"/>
      <c r="F44" s="259"/>
      <c r="G44" s="259"/>
      <c r="H44" s="259"/>
      <c r="I44" s="259">
        <f>-87324</f>
        <v>-87324</v>
      </c>
      <c r="J44" s="259"/>
      <c r="K44" s="259"/>
      <c r="L44" s="259">
        <f>-17394</f>
        <v>-17394</v>
      </c>
      <c r="M44" s="259"/>
      <c r="N44" s="259">
        <f>-11400</f>
        <v>-11400</v>
      </c>
      <c r="O44" s="259">
        <f>(-Businessplan_prodej!$F$65-SUM($I$44:$L$44))/23*3</f>
        <v>-6141.1304347826081</v>
      </c>
      <c r="P44" s="259">
        <f>(-Businessplan_prodej!$F$65-SUM($I$44:$L$44))/23</f>
        <v>-2047.0434782608695</v>
      </c>
      <c r="Q44" s="259">
        <f>(-Businessplan_prodej!$F$65-SUM($I$44:$L$44))/23</f>
        <v>-2047.0434782608695</v>
      </c>
      <c r="R44" s="259">
        <f>(-Businessplan_prodej!$F$65-SUM($I$44:$L$44))/23</f>
        <v>-2047.0434782608695</v>
      </c>
      <c r="S44" s="259">
        <f>(-Businessplan_prodej!$F$65-SUM($I$44:$L$44))/23</f>
        <v>-2047.0434782608695</v>
      </c>
      <c r="T44" s="259">
        <f>(-Businessplan_prodej!$F$65-SUM($I$44:$L$44))/23</f>
        <v>-2047.0434782608695</v>
      </c>
      <c r="U44" s="259">
        <f>(-Businessplan_prodej!$F$65-SUM($I$44:$L$44))/23</f>
        <v>-2047.0434782608695</v>
      </c>
      <c r="V44" s="259">
        <f>(-Businessplan_prodej!$F$65-SUM($I$44:$L$44))/23</f>
        <v>-2047.0434782608695</v>
      </c>
      <c r="W44" s="259">
        <f>(-Businessplan_prodej!$F$65-SUM($I$44:$L$44))/23</f>
        <v>-2047.0434782608695</v>
      </c>
      <c r="X44" s="259">
        <f>(-Businessplan_prodej!$F$65-SUM($I$44:$L$44))/23</f>
        <v>-2047.0434782608695</v>
      </c>
      <c r="Y44" s="259">
        <f>(-Businessplan_prodej!$F$65-SUM($I$44:$L$44))/23</f>
        <v>-2047.0434782608695</v>
      </c>
      <c r="Z44" s="259">
        <f>(-Businessplan_prodej!$F$65-SUM($I$44:$L$44))/23</f>
        <v>-2047.0434782608695</v>
      </c>
      <c r="AA44" s="259">
        <f>(-Businessplan_prodej!$F$65-SUM($I$44:$L$44))/23</f>
        <v>-2047.0434782608695</v>
      </c>
      <c r="AB44" s="259">
        <f>(-Businessplan_prodej!$F$65-SUM($I$44:$L$44))/23</f>
        <v>-2047.0434782608695</v>
      </c>
      <c r="AC44" s="259">
        <f>(-Businessplan_prodej!$F$65-SUM($I$44:$L$44))/23</f>
        <v>-2047.0434782608695</v>
      </c>
      <c r="AD44" s="259">
        <f>(-Businessplan_prodej!$F$65-SUM($I$44:$L$44))/23</f>
        <v>-2047.0434782608695</v>
      </c>
      <c r="AE44" s="259">
        <f>(-Businessplan_prodej!$F$65-SUM($I$44:$L$44))/23</f>
        <v>-2047.0434782608695</v>
      </c>
      <c r="AF44" s="259">
        <f>(-Businessplan_prodej!$F$65-SUM($I$44:$L$44))/23</f>
        <v>-2047.0434782608695</v>
      </c>
      <c r="AG44" s="259">
        <f>(-Businessplan_prodej!$F$65-SUM($I$44:$L$44))/23</f>
        <v>-2047.0434782608695</v>
      </c>
      <c r="AH44" s="259">
        <f>(-Businessplan_prodej!$F$65-SUM($I$44:$L$44))/23</f>
        <v>-2047.0434782608695</v>
      </c>
      <c r="AI44" s="259">
        <f>(-Businessplan_prodej!$F$65-SUM($I$44:$L$44))/23</f>
        <v>-2047.0434782608695</v>
      </c>
      <c r="AJ44" s="259"/>
      <c r="AK44" s="259"/>
      <c r="AL44" s="259"/>
      <c r="AM44" s="259"/>
      <c r="AN44" s="259"/>
      <c r="AO44" s="259"/>
      <c r="AP44" s="259"/>
      <c r="AQ44" s="259"/>
      <c r="AR44" s="259"/>
      <c r="AS44" s="259"/>
      <c r="AT44" s="259"/>
      <c r="AU44" s="259"/>
      <c r="AV44" s="259"/>
      <c r="AW44" s="259"/>
      <c r="AX44" s="259"/>
      <c r="AY44" s="259"/>
      <c r="AZ44" s="259"/>
      <c r="BA44" s="259"/>
      <c r="BB44" s="259"/>
      <c r="BC44" s="259"/>
      <c r="BD44" s="259"/>
      <c r="BE44" s="259"/>
      <c r="BF44" s="259"/>
      <c r="BG44" s="259"/>
      <c r="BH44" s="259"/>
      <c r="BI44" s="259"/>
      <c r="BJ44" s="259"/>
      <c r="BK44" s="259"/>
      <c r="BL44" s="259"/>
      <c r="BM44" s="259"/>
      <c r="BN44" s="259"/>
      <c r="BO44" s="259"/>
      <c r="BP44" s="259"/>
      <c r="BQ44" s="259"/>
      <c r="BR44" s="259"/>
      <c r="BS44" s="259"/>
      <c r="BT44" s="259"/>
      <c r="BU44" s="259"/>
      <c r="BV44" s="259"/>
      <c r="BW44" s="259"/>
      <c r="BX44" s="265"/>
      <c r="BY44" s="267">
        <f t="shared" si="19"/>
        <v>-163199.99999999991</v>
      </c>
      <c r="BZ44" s="564"/>
      <c r="CA44" s="229"/>
      <c r="CB44" s="229"/>
      <c r="CC44" s="229"/>
      <c r="CD44" s="256" t="e">
        <f t="shared" ca="1" si="21"/>
        <v>#REF!</v>
      </c>
      <c r="CE44" s="564"/>
    </row>
    <row r="45" spans="2:83" ht="14.25" customHeight="1" outlineLevel="1">
      <c r="B45" s="569"/>
      <c r="C45" s="257" t="s">
        <v>223</v>
      </c>
      <c r="D45" s="258" t="s">
        <v>191</v>
      </c>
      <c r="E45" s="259"/>
      <c r="F45" s="259"/>
      <c r="G45" s="259"/>
      <c r="H45" s="259"/>
      <c r="I45" s="259"/>
      <c r="J45" s="259"/>
      <c r="K45" s="259"/>
      <c r="L45" s="259"/>
      <c r="M45" s="259"/>
      <c r="N45" s="259"/>
      <c r="O45" s="259"/>
      <c r="P45" s="259"/>
      <c r="Q45" s="259"/>
      <c r="R45" s="259">
        <f>-Businessplan_prodej!$F$66*0.3</f>
        <v>-68310</v>
      </c>
      <c r="S45" s="259"/>
      <c r="T45" s="259"/>
      <c r="U45" s="259"/>
      <c r="V45" s="259">
        <f>-Businessplan_prodej!$F$66*0.3</f>
        <v>-68310</v>
      </c>
      <c r="W45" s="259"/>
      <c r="X45" s="259"/>
      <c r="Y45" s="259"/>
      <c r="Z45" s="259"/>
      <c r="AA45" s="259"/>
      <c r="AB45" s="259"/>
      <c r="AC45" s="259"/>
      <c r="AD45" s="259"/>
      <c r="AE45" s="259"/>
      <c r="AF45" s="259"/>
      <c r="AG45" s="259"/>
      <c r="AH45" s="259">
        <f>-Businessplan_prodej!$F$66*0.2</f>
        <v>-45540</v>
      </c>
      <c r="AI45" s="259">
        <f>-Businessplan_prodej!$F$66*0.2</f>
        <v>-45540</v>
      </c>
      <c r="AJ45" s="259"/>
      <c r="AK45" s="259"/>
      <c r="AL45" s="259"/>
      <c r="AM45" s="259"/>
      <c r="AN45" s="259"/>
      <c r="AO45" s="259"/>
      <c r="AP45" s="259"/>
      <c r="AQ45" s="259"/>
      <c r="AR45" s="259"/>
      <c r="AS45" s="259"/>
      <c r="AT45" s="259"/>
      <c r="AU45" s="259"/>
      <c r="AV45" s="259"/>
      <c r="AW45" s="259"/>
      <c r="AX45" s="259"/>
      <c r="AY45" s="259"/>
      <c r="AZ45" s="259"/>
      <c r="BA45" s="259"/>
      <c r="BB45" s="259"/>
      <c r="BC45" s="259"/>
      <c r="BD45" s="259"/>
      <c r="BE45" s="259"/>
      <c r="BF45" s="259"/>
      <c r="BG45" s="259"/>
      <c r="BH45" s="259"/>
      <c r="BI45" s="259"/>
      <c r="BJ45" s="259"/>
      <c r="BK45" s="259"/>
      <c r="BL45" s="259"/>
      <c r="BM45" s="259"/>
      <c r="BN45" s="259"/>
      <c r="BO45" s="259"/>
      <c r="BP45" s="259"/>
      <c r="BQ45" s="259"/>
      <c r="BR45" s="259"/>
      <c r="BS45" s="259"/>
      <c r="BT45" s="259"/>
      <c r="BU45" s="259"/>
      <c r="BV45" s="259"/>
      <c r="BW45" s="259"/>
      <c r="BX45" s="265"/>
      <c r="BY45" s="267">
        <f t="shared" si="19"/>
        <v>-227700</v>
      </c>
      <c r="BZ45" s="564"/>
      <c r="CA45" s="229"/>
      <c r="CB45" s="229"/>
      <c r="CC45" s="229"/>
      <c r="CD45" s="256" t="e">
        <f t="shared" ref="CD45:CD47" ca="1" si="22">SUM(INDEX(AC45:BX45, , 1):INDEX(AC45:BX45, ,MATCH(CD1, $E$3:$BX$3,0) ))</f>
        <v>#N/A</v>
      </c>
      <c r="CE45" s="564"/>
    </row>
    <row r="46" spans="2:83" ht="14.25" customHeight="1" outlineLevel="1">
      <c r="B46" s="569"/>
      <c r="C46" s="257" t="s">
        <v>224</v>
      </c>
      <c r="D46" s="258" t="s">
        <v>191</v>
      </c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  <c r="P46" s="259"/>
      <c r="Q46" s="259">
        <f>-Businessplan_prodej!$F$67*0.4</f>
        <v>-91080</v>
      </c>
      <c r="R46" s="259"/>
      <c r="S46" s="259"/>
      <c r="T46" s="259"/>
      <c r="U46" s="259"/>
      <c r="V46" s="259">
        <f>-Businessplan_prodej!$F$67*0.4</f>
        <v>-91080</v>
      </c>
      <c r="W46" s="259"/>
      <c r="X46" s="259"/>
      <c r="Y46" s="259"/>
      <c r="Z46" s="259"/>
      <c r="AA46" s="259"/>
      <c r="AB46" s="259"/>
      <c r="AC46" s="259"/>
      <c r="AD46" s="259"/>
      <c r="AE46" s="259"/>
      <c r="AF46" s="259"/>
      <c r="AG46" s="259"/>
      <c r="AH46" s="259"/>
      <c r="AI46" s="259">
        <f>-Businessplan_prodej!$F$67*0.2</f>
        <v>-45540</v>
      </c>
      <c r="AJ46" s="259"/>
      <c r="AK46" s="259"/>
      <c r="AL46" s="259"/>
      <c r="AM46" s="259"/>
      <c r="AN46" s="259"/>
      <c r="AO46" s="259"/>
      <c r="AP46" s="259"/>
      <c r="AQ46" s="259"/>
      <c r="AR46" s="259"/>
      <c r="AS46" s="259"/>
      <c r="AT46" s="259"/>
      <c r="AU46" s="259"/>
      <c r="AV46" s="259"/>
      <c r="AW46" s="259"/>
      <c r="AX46" s="259"/>
      <c r="AY46" s="259"/>
      <c r="AZ46" s="259"/>
      <c r="BA46" s="259"/>
      <c r="BB46" s="259"/>
      <c r="BC46" s="259"/>
      <c r="BD46" s="259"/>
      <c r="BE46" s="259"/>
      <c r="BF46" s="259"/>
      <c r="BG46" s="259"/>
      <c r="BH46" s="259"/>
      <c r="BI46" s="259"/>
      <c r="BJ46" s="259"/>
      <c r="BK46" s="259"/>
      <c r="BL46" s="259"/>
      <c r="BM46" s="259"/>
      <c r="BN46" s="259"/>
      <c r="BO46" s="259"/>
      <c r="BP46" s="259"/>
      <c r="BQ46" s="259"/>
      <c r="BR46" s="259"/>
      <c r="BS46" s="259"/>
      <c r="BT46" s="259"/>
      <c r="BU46" s="259"/>
      <c r="BV46" s="259"/>
      <c r="BW46" s="259"/>
      <c r="BX46" s="265"/>
      <c r="BY46" s="267">
        <f t="shared" si="19"/>
        <v>-227700</v>
      </c>
      <c r="BZ46" s="564"/>
      <c r="CA46" s="229"/>
      <c r="CB46" s="229"/>
      <c r="CC46" s="229"/>
      <c r="CD46" s="256" t="e">
        <f t="shared" ca="1" si="22"/>
        <v>#N/A</v>
      </c>
      <c r="CE46" s="564"/>
    </row>
    <row r="47" spans="2:83" ht="14.25" customHeight="1" outlineLevel="1">
      <c r="B47" s="569"/>
      <c r="C47" s="257" t="s">
        <v>225</v>
      </c>
      <c r="D47" s="261" t="s">
        <v>191</v>
      </c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>
        <f>-Businessplan_prodej!$F$68/2</f>
        <v>-709678.25</v>
      </c>
      <c r="W47" s="259"/>
      <c r="X47" s="259"/>
      <c r="Y47" s="259"/>
      <c r="Z47" s="259"/>
      <c r="AA47" s="259"/>
      <c r="AB47" s="259"/>
      <c r="AC47" s="259"/>
      <c r="AD47" s="259"/>
      <c r="AE47" s="259">
        <f>-Businessplan_prodej!$F$68/2</f>
        <v>-709678.25</v>
      </c>
      <c r="AF47" s="259"/>
      <c r="AG47" s="259"/>
      <c r="AH47" s="259"/>
      <c r="AI47" s="259"/>
      <c r="AJ47" s="259"/>
      <c r="AK47" s="259"/>
      <c r="AL47" s="259"/>
      <c r="AM47" s="259"/>
      <c r="AN47" s="259"/>
      <c r="AO47" s="259"/>
      <c r="AP47" s="259"/>
      <c r="AQ47" s="259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59"/>
      <c r="BR47" s="259"/>
      <c r="BS47" s="259"/>
      <c r="BT47" s="259"/>
      <c r="BU47" s="259"/>
      <c r="BV47" s="259"/>
      <c r="BW47" s="259"/>
      <c r="BX47" s="265"/>
      <c r="BY47" s="267">
        <f t="shared" si="19"/>
        <v>-1419356.5</v>
      </c>
      <c r="BZ47" s="564"/>
      <c r="CA47" s="229"/>
      <c r="CB47" s="229"/>
      <c r="CC47" s="229"/>
      <c r="CD47" s="256" t="e">
        <f t="shared" ca="1" si="22"/>
        <v>#N/A</v>
      </c>
      <c r="CE47" s="564"/>
    </row>
    <row r="48" spans="2:83" ht="15.95">
      <c r="B48" s="569"/>
      <c r="C48" s="252" t="s">
        <v>226</v>
      </c>
      <c r="D48" s="253"/>
      <c r="E48" s="254">
        <f t="shared" ref="E48:BX48" si="23">SUM(E49:E53)</f>
        <v>0</v>
      </c>
      <c r="F48" s="254">
        <f t="shared" si="23"/>
        <v>0</v>
      </c>
      <c r="G48" s="254">
        <f t="shared" si="23"/>
        <v>0</v>
      </c>
      <c r="H48" s="254">
        <f t="shared" si="23"/>
        <v>0</v>
      </c>
      <c r="I48" s="254">
        <f t="shared" si="23"/>
        <v>0</v>
      </c>
      <c r="J48" s="254">
        <f t="shared" si="23"/>
        <v>0</v>
      </c>
      <c r="K48" s="254">
        <f t="shared" si="23"/>
        <v>-600</v>
      </c>
      <c r="L48" s="254">
        <f t="shared" si="23"/>
        <v>-699.1</v>
      </c>
      <c r="M48" s="254">
        <f t="shared" si="23"/>
        <v>-607.44000000000005</v>
      </c>
      <c r="N48" s="254">
        <f t="shared" si="23"/>
        <v>-621</v>
      </c>
      <c r="O48" s="254">
        <f t="shared" si="23"/>
        <v>-35922.357418975</v>
      </c>
      <c r="P48" s="254">
        <f t="shared" si="23"/>
        <v>-12640.785806325001</v>
      </c>
      <c r="Q48" s="254">
        <f t="shared" si="23"/>
        <v>-12640.785806325001</v>
      </c>
      <c r="R48" s="254">
        <f t="shared" si="23"/>
        <v>-12640.785806325001</v>
      </c>
      <c r="S48" s="254">
        <f t="shared" si="23"/>
        <v>-12640.785806325001</v>
      </c>
      <c r="T48" s="254">
        <f t="shared" si="23"/>
        <v>-12640.785806325001</v>
      </c>
      <c r="U48" s="254">
        <f t="shared" si="23"/>
        <v>-12640.785806325001</v>
      </c>
      <c r="V48" s="254">
        <f t="shared" si="23"/>
        <v>-12640.785806325001</v>
      </c>
      <c r="W48" s="254">
        <f t="shared" si="23"/>
        <v>-12640.785806325001</v>
      </c>
      <c r="X48" s="254">
        <f t="shared" si="23"/>
        <v>-12640.785806325001</v>
      </c>
      <c r="Y48" s="254">
        <f t="shared" si="23"/>
        <v>-146509.82257906251</v>
      </c>
      <c r="Z48" s="254">
        <f t="shared" si="23"/>
        <v>-12640.785806325001</v>
      </c>
      <c r="AA48" s="254">
        <f t="shared" si="23"/>
        <v>-12640.785806325001</v>
      </c>
      <c r="AB48" s="254">
        <f t="shared" si="23"/>
        <v>-12640.785806325001</v>
      </c>
      <c r="AC48" s="254">
        <f t="shared" si="23"/>
        <v>-58649.795675568159</v>
      </c>
      <c r="AD48" s="254">
        <f t="shared" si="23"/>
        <v>-117335.47221147799</v>
      </c>
      <c r="AE48" s="254">
        <f t="shared" si="23"/>
        <v>-180752.33708072113</v>
      </c>
      <c r="AF48" s="254">
        <f t="shared" si="23"/>
        <v>-239438.01361663095</v>
      </c>
      <c r="AG48" s="254">
        <f t="shared" si="23"/>
        <v>-453456.69580632495</v>
      </c>
      <c r="AH48" s="254">
        <f t="shared" si="23"/>
        <v>-452701.78580632497</v>
      </c>
      <c r="AI48" s="254">
        <f t="shared" si="23"/>
        <v>-451941.78580632497</v>
      </c>
      <c r="AJ48" s="254">
        <f t="shared" si="23"/>
        <v>0</v>
      </c>
      <c r="AK48" s="254">
        <f t="shared" si="23"/>
        <v>0</v>
      </c>
      <c r="AL48" s="254">
        <f t="shared" si="23"/>
        <v>0</v>
      </c>
      <c r="AM48" s="254">
        <f t="shared" si="23"/>
        <v>0</v>
      </c>
      <c r="AN48" s="254">
        <f t="shared" si="23"/>
        <v>0</v>
      </c>
      <c r="AO48" s="254">
        <f t="shared" si="23"/>
        <v>0</v>
      </c>
      <c r="AP48" s="254">
        <f t="shared" si="23"/>
        <v>0</v>
      </c>
      <c r="AQ48" s="254">
        <f t="shared" si="23"/>
        <v>0</v>
      </c>
      <c r="AR48" s="254">
        <f t="shared" si="23"/>
        <v>0</v>
      </c>
      <c r="AS48" s="254">
        <f t="shared" si="23"/>
        <v>0</v>
      </c>
      <c r="AT48" s="254">
        <f t="shared" si="23"/>
        <v>0</v>
      </c>
      <c r="AU48" s="254">
        <f t="shared" si="23"/>
        <v>0</v>
      </c>
      <c r="AV48" s="254">
        <f t="shared" si="23"/>
        <v>0</v>
      </c>
      <c r="AW48" s="254">
        <f t="shared" si="23"/>
        <v>0</v>
      </c>
      <c r="AX48" s="254">
        <f t="shared" si="23"/>
        <v>0</v>
      </c>
      <c r="AY48" s="254">
        <f t="shared" si="23"/>
        <v>0</v>
      </c>
      <c r="AZ48" s="254">
        <f t="shared" si="23"/>
        <v>0</v>
      </c>
      <c r="BA48" s="254">
        <f t="shared" si="23"/>
        <v>0</v>
      </c>
      <c r="BB48" s="254">
        <f t="shared" si="23"/>
        <v>0</v>
      </c>
      <c r="BC48" s="254">
        <f t="shared" si="23"/>
        <v>0</v>
      </c>
      <c r="BD48" s="254">
        <f t="shared" si="23"/>
        <v>0</v>
      </c>
      <c r="BE48" s="254">
        <f t="shared" si="23"/>
        <v>0</v>
      </c>
      <c r="BF48" s="254">
        <f t="shared" si="23"/>
        <v>0</v>
      </c>
      <c r="BG48" s="254">
        <f t="shared" si="23"/>
        <v>0</v>
      </c>
      <c r="BH48" s="254">
        <f t="shared" si="23"/>
        <v>0</v>
      </c>
      <c r="BI48" s="254">
        <f t="shared" si="23"/>
        <v>0</v>
      </c>
      <c r="BJ48" s="254">
        <f t="shared" si="23"/>
        <v>0</v>
      </c>
      <c r="BK48" s="254">
        <f t="shared" si="23"/>
        <v>0</v>
      </c>
      <c r="BL48" s="254">
        <f t="shared" si="23"/>
        <v>0</v>
      </c>
      <c r="BM48" s="254">
        <f t="shared" si="23"/>
        <v>0</v>
      </c>
      <c r="BN48" s="254">
        <f t="shared" si="23"/>
        <v>0</v>
      </c>
      <c r="BO48" s="254">
        <f t="shared" si="23"/>
        <v>0</v>
      </c>
      <c r="BP48" s="254">
        <f t="shared" si="23"/>
        <v>0</v>
      </c>
      <c r="BQ48" s="254">
        <f t="shared" si="23"/>
        <v>0</v>
      </c>
      <c r="BR48" s="254">
        <f t="shared" si="23"/>
        <v>0</v>
      </c>
      <c r="BS48" s="254">
        <f t="shared" si="23"/>
        <v>0</v>
      </c>
      <c r="BT48" s="254">
        <f t="shared" si="23"/>
        <v>0</v>
      </c>
      <c r="BU48" s="254">
        <f t="shared" si="23"/>
        <v>0</v>
      </c>
      <c r="BV48" s="254">
        <f t="shared" si="23"/>
        <v>0</v>
      </c>
      <c r="BW48" s="254">
        <f t="shared" si="23"/>
        <v>0</v>
      </c>
      <c r="BX48" s="254">
        <f t="shared" si="23"/>
        <v>0</v>
      </c>
      <c r="BY48" s="256">
        <f>SUM(BY49:BY53)</f>
        <v>-2290925.035677311</v>
      </c>
      <c r="BZ48" s="564"/>
      <c r="CA48" s="229"/>
      <c r="CB48" s="229"/>
      <c r="CC48" s="229"/>
      <c r="CD48" s="256" t="e">
        <f t="array" aca="1" ref="CD48" ca="1">SUM(INDEX(E48:BX48, , 1):INDEX(E48:BX48, ,MATCH($CD$4, $E$3:$BX$3,0) ))</f>
        <v>#N/A</v>
      </c>
      <c r="CE48" s="564"/>
    </row>
    <row r="49" spans="2:83" ht="15.95" outlineLevel="1">
      <c r="B49" s="569"/>
      <c r="C49" s="257" t="s">
        <v>227</v>
      </c>
      <c r="D49" s="258" t="s">
        <v>191</v>
      </c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>
        <f>-Businessplan_prodej!$F$76</f>
        <v>-133869.03677273751</v>
      </c>
      <c r="Z49" s="259"/>
      <c r="AA49" s="259"/>
      <c r="AB49" s="259"/>
      <c r="AC49" s="259"/>
      <c r="AD49" s="259"/>
      <c r="AE49" s="259"/>
      <c r="AF49" s="259"/>
      <c r="AG49" s="259"/>
      <c r="AH49" s="259"/>
      <c r="AI49" s="259"/>
      <c r="AJ49" s="259"/>
      <c r="AK49" s="259"/>
      <c r="AL49" s="259"/>
      <c r="AM49" s="259"/>
      <c r="AN49" s="259"/>
      <c r="AO49" s="259"/>
      <c r="AP49" s="259"/>
      <c r="AQ49" s="259"/>
      <c r="AR49" s="259"/>
      <c r="AS49" s="259"/>
      <c r="AT49" s="259"/>
      <c r="AU49" s="259"/>
      <c r="AV49" s="259"/>
      <c r="AW49" s="259"/>
      <c r="AX49" s="259"/>
      <c r="AY49" s="259"/>
      <c r="AZ49" s="259"/>
      <c r="BA49" s="259"/>
      <c r="BB49" s="259"/>
      <c r="BC49" s="259"/>
      <c r="BD49" s="259"/>
      <c r="BE49" s="259"/>
      <c r="BF49" s="259"/>
      <c r="BG49" s="259"/>
      <c r="BH49" s="259"/>
      <c r="BI49" s="259"/>
      <c r="BJ49" s="259"/>
      <c r="BK49" s="259"/>
      <c r="BL49" s="259"/>
      <c r="BM49" s="259"/>
      <c r="BN49" s="259"/>
      <c r="BO49" s="259"/>
      <c r="BP49" s="259"/>
      <c r="BQ49" s="259"/>
      <c r="BR49" s="259"/>
      <c r="BS49" s="259"/>
      <c r="BT49" s="259"/>
      <c r="BU49" s="259"/>
      <c r="BV49" s="259"/>
      <c r="BW49" s="259"/>
      <c r="BX49" s="265"/>
      <c r="BY49" s="266">
        <f t="shared" ref="BY49:BY53" si="24">SUM(E49:BX49)</f>
        <v>-133869.03677273751</v>
      </c>
      <c r="BZ49" s="564"/>
      <c r="CA49" s="229"/>
      <c r="CB49" s="229"/>
      <c r="CC49" s="229"/>
      <c r="CD49" s="256" t="e">
        <f t="shared" ref="CD49:CD53" ca="1" si="25">SUM(INDEX(AC49:BX49, , 1):INDEX(AC49:BX49, ,MATCH(CD5, E4:BX4,0) ))</f>
        <v>#N/A</v>
      </c>
      <c r="CE49" s="564"/>
    </row>
    <row r="50" spans="2:83" ht="15.95" outlineLevel="1">
      <c r="B50" s="569"/>
      <c r="C50" s="257" t="s">
        <v>228</v>
      </c>
      <c r="D50" s="258" t="s">
        <v>191</v>
      </c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>
        <f>-Businessplan_prodej!$F$77/23*3</f>
        <v>-34922.357418975</v>
      </c>
      <c r="P50" s="259">
        <f>-Businessplan_prodej!$F$77/23</f>
        <v>-11640.785806325001</v>
      </c>
      <c r="Q50" s="259">
        <f>-Businessplan_prodej!$F$77/23</f>
        <v>-11640.785806325001</v>
      </c>
      <c r="R50" s="259">
        <f>-Businessplan_prodej!$F$77/23</f>
        <v>-11640.785806325001</v>
      </c>
      <c r="S50" s="259">
        <f>-Businessplan_prodej!$F$77/23</f>
        <v>-11640.785806325001</v>
      </c>
      <c r="T50" s="259">
        <f>-Businessplan_prodej!$F$77/23</f>
        <v>-11640.785806325001</v>
      </c>
      <c r="U50" s="259">
        <f>-Businessplan_prodej!$F$77/23</f>
        <v>-11640.785806325001</v>
      </c>
      <c r="V50" s="259">
        <f>-Businessplan_prodej!$F$77/23</f>
        <v>-11640.785806325001</v>
      </c>
      <c r="W50" s="259">
        <f>-Businessplan_prodej!$F$77/23</f>
        <v>-11640.785806325001</v>
      </c>
      <c r="X50" s="259">
        <f>-Businessplan_prodej!$F$77/23</f>
        <v>-11640.785806325001</v>
      </c>
      <c r="Y50" s="259">
        <f>-Businessplan_prodej!$F$77/23</f>
        <v>-11640.785806325001</v>
      </c>
      <c r="Z50" s="259">
        <f>-Businessplan_prodej!$F$77/23</f>
        <v>-11640.785806325001</v>
      </c>
      <c r="AA50" s="259">
        <f>-Businessplan_prodej!$F$77/23</f>
        <v>-11640.785806325001</v>
      </c>
      <c r="AB50" s="259">
        <f>-Businessplan_prodej!$F$77/23</f>
        <v>-11640.785806325001</v>
      </c>
      <c r="AC50" s="259">
        <f>-Businessplan_prodej!$F$77/23</f>
        <v>-11640.785806325001</v>
      </c>
      <c r="AD50" s="259">
        <f>-Businessplan_prodej!$F$77/23</f>
        <v>-11640.785806325001</v>
      </c>
      <c r="AE50" s="259">
        <f>-Businessplan_prodej!$F$77/23</f>
        <v>-11640.785806325001</v>
      </c>
      <c r="AF50" s="259">
        <f>-Businessplan_prodej!$F$77/23</f>
        <v>-11640.785806325001</v>
      </c>
      <c r="AG50" s="259">
        <f>-Businessplan_prodej!$F$77/23</f>
        <v>-11640.785806325001</v>
      </c>
      <c r="AH50" s="259">
        <f>-Businessplan_prodej!$F$77/23</f>
        <v>-11640.785806325001</v>
      </c>
      <c r="AI50" s="259">
        <f>-Businessplan_prodej!$F$77/23</f>
        <v>-11640.785806325001</v>
      </c>
      <c r="AJ50" s="259"/>
      <c r="AK50" s="259"/>
      <c r="AL50" s="259"/>
      <c r="AM50" s="259"/>
      <c r="AN50" s="259"/>
      <c r="AO50" s="259"/>
      <c r="AP50" s="259"/>
      <c r="AQ50" s="259"/>
      <c r="AR50" s="259"/>
      <c r="AS50" s="259"/>
      <c r="AT50" s="259"/>
      <c r="AU50" s="259"/>
      <c r="AV50" s="259"/>
      <c r="AW50" s="259"/>
      <c r="AX50" s="259"/>
      <c r="AY50" s="259"/>
      <c r="AZ50" s="259"/>
      <c r="BA50" s="259"/>
      <c r="BB50" s="259"/>
      <c r="BC50" s="259"/>
      <c r="BD50" s="259"/>
      <c r="BE50" s="259"/>
      <c r="BF50" s="259"/>
      <c r="BG50" s="259"/>
      <c r="BH50" s="259"/>
      <c r="BI50" s="259"/>
      <c r="BJ50" s="259"/>
      <c r="BK50" s="259"/>
      <c r="BL50" s="259"/>
      <c r="BM50" s="259"/>
      <c r="BN50" s="259"/>
      <c r="BO50" s="259"/>
      <c r="BP50" s="259"/>
      <c r="BQ50" s="259"/>
      <c r="BR50" s="259"/>
      <c r="BS50" s="259"/>
      <c r="BT50" s="259"/>
      <c r="BU50" s="259"/>
      <c r="BV50" s="259"/>
      <c r="BW50" s="259"/>
      <c r="BX50" s="265"/>
      <c r="BY50" s="266">
        <f t="shared" si="24"/>
        <v>-267738.07354547502</v>
      </c>
      <c r="BZ50" s="564"/>
      <c r="CA50" s="229"/>
      <c r="CB50" s="229"/>
      <c r="CC50" s="229"/>
      <c r="CD50" s="256" t="e">
        <f t="shared" ca="1" si="25"/>
        <v>#N/A</v>
      </c>
      <c r="CE50" s="564"/>
    </row>
    <row r="51" spans="2:83" ht="15.95" outlineLevel="1">
      <c r="B51" s="569"/>
      <c r="C51" s="257" t="s">
        <v>229</v>
      </c>
      <c r="D51" s="258" t="s">
        <v>191</v>
      </c>
      <c r="E51" s="259"/>
      <c r="F51" s="259"/>
      <c r="G51" s="259"/>
      <c r="H51" s="259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>
        <f t="shared" ref="Z51:AF51" si="26">-Z11*0.08/12+Y51</f>
        <v>0</v>
      </c>
      <c r="AA51" s="259">
        <f t="shared" si="26"/>
        <v>0</v>
      </c>
      <c r="AB51" s="259">
        <f t="shared" si="26"/>
        <v>0</v>
      </c>
      <c r="AC51" s="259">
        <f t="shared" si="26"/>
        <v>-46009.009869243157</v>
      </c>
      <c r="AD51" s="259">
        <f t="shared" si="26"/>
        <v>-104694.68640515298</v>
      </c>
      <c r="AE51" s="259">
        <f t="shared" si="26"/>
        <v>-168111.55127439613</v>
      </c>
      <c r="AF51" s="259">
        <f t="shared" si="26"/>
        <v>-226797.22781030595</v>
      </c>
      <c r="AG51" s="259">
        <f>-440815.91</f>
        <v>-440815.91</v>
      </c>
      <c r="AH51" s="259">
        <f>-440061</f>
        <v>-440061</v>
      </c>
      <c r="AI51" s="259">
        <f>-439301</f>
        <v>-439301</v>
      </c>
      <c r="AJ51" s="259"/>
      <c r="AK51" s="259"/>
      <c r="AL51" s="259"/>
      <c r="AM51" s="259"/>
      <c r="AN51" s="259"/>
      <c r="AO51" s="259"/>
      <c r="AP51" s="259"/>
      <c r="AQ51" s="259"/>
      <c r="AR51" s="259"/>
      <c r="AS51" s="259"/>
      <c r="AT51" s="259"/>
      <c r="AU51" s="259"/>
      <c r="AV51" s="259"/>
      <c r="AW51" s="259"/>
      <c r="AX51" s="259"/>
      <c r="AY51" s="259"/>
      <c r="AZ51" s="259"/>
      <c r="BA51" s="259"/>
      <c r="BB51" s="259"/>
      <c r="BC51" s="259"/>
      <c r="BD51" s="259"/>
      <c r="BE51" s="259"/>
      <c r="BF51" s="259"/>
      <c r="BG51" s="259"/>
      <c r="BH51" s="259"/>
      <c r="BI51" s="259"/>
      <c r="BJ51" s="259"/>
      <c r="BK51" s="259"/>
      <c r="BL51" s="259"/>
      <c r="BM51" s="259"/>
      <c r="BN51" s="259"/>
      <c r="BO51" s="259"/>
      <c r="BP51" s="259"/>
      <c r="BQ51" s="259"/>
      <c r="BR51" s="259"/>
      <c r="BS51" s="259"/>
      <c r="BT51" s="259"/>
      <c r="BU51" s="259"/>
      <c r="BV51" s="259"/>
      <c r="BW51" s="259"/>
      <c r="BX51" s="265"/>
      <c r="BY51" s="266">
        <f t="shared" si="24"/>
        <v>-1865790.3853590982</v>
      </c>
      <c r="BZ51" s="564"/>
      <c r="CA51" s="229"/>
      <c r="CB51" s="229"/>
      <c r="CC51" s="229"/>
      <c r="CD51" s="256">
        <f t="shared" ca="1" si="25"/>
        <v>-1865790.3853590982</v>
      </c>
      <c r="CE51" s="564"/>
    </row>
    <row r="52" spans="2:83" ht="15.95" outlineLevel="1">
      <c r="B52" s="569"/>
      <c r="C52" s="257" t="s">
        <v>230</v>
      </c>
      <c r="D52" s="258" t="s">
        <v>191</v>
      </c>
      <c r="E52" s="259"/>
      <c r="F52" s="259"/>
      <c r="G52" s="259"/>
      <c r="H52" s="259"/>
      <c r="I52" s="259"/>
      <c r="J52" s="259"/>
      <c r="K52" s="259">
        <f>-400-200</f>
        <v>-600</v>
      </c>
      <c r="L52" s="259">
        <f>-50-2.1-3-400-12-6-20-200-6</f>
        <v>-699.1</v>
      </c>
      <c r="M52" s="259">
        <f>-400-2-5-200-0.44</f>
        <v>-607.44000000000005</v>
      </c>
      <c r="N52" s="259">
        <f>-3-400-2-5-200-3-8</f>
        <v>-621</v>
      </c>
      <c r="O52" s="259">
        <f>-Businessplan_prodej!$E$79</f>
        <v>-1000</v>
      </c>
      <c r="P52" s="259">
        <f>-Businessplan_prodej!$E$79</f>
        <v>-1000</v>
      </c>
      <c r="Q52" s="259">
        <f>-Businessplan_prodej!$E$79</f>
        <v>-1000</v>
      </c>
      <c r="R52" s="259">
        <f>-Businessplan_prodej!$E$79</f>
        <v>-1000</v>
      </c>
      <c r="S52" s="259">
        <f>-Businessplan_prodej!$E$79</f>
        <v>-1000</v>
      </c>
      <c r="T52" s="259">
        <f>-Businessplan_prodej!$E$79</f>
        <v>-1000</v>
      </c>
      <c r="U52" s="259">
        <f>-Businessplan_prodej!$E$79</f>
        <v>-1000</v>
      </c>
      <c r="V52" s="259">
        <f>-Businessplan_prodej!$E$79</f>
        <v>-1000</v>
      </c>
      <c r="W52" s="259">
        <f>-Businessplan_prodej!$E$79</f>
        <v>-1000</v>
      </c>
      <c r="X52" s="259">
        <f>-Businessplan_prodej!$E$79</f>
        <v>-1000</v>
      </c>
      <c r="Y52" s="259">
        <f>-Businessplan_prodej!$E$79</f>
        <v>-1000</v>
      </c>
      <c r="Z52" s="259">
        <f>-Businessplan_prodej!$E$79</f>
        <v>-1000</v>
      </c>
      <c r="AA52" s="259">
        <f>-Businessplan_prodej!$E$79</f>
        <v>-1000</v>
      </c>
      <c r="AB52" s="259">
        <f>-Businessplan_prodej!$E$79</f>
        <v>-1000</v>
      </c>
      <c r="AC52" s="259">
        <f>-Businessplan_prodej!$E$79</f>
        <v>-1000</v>
      </c>
      <c r="AD52" s="259">
        <f>-Businessplan_prodej!$E$79</f>
        <v>-1000</v>
      </c>
      <c r="AE52" s="259">
        <f>-Businessplan_prodej!$E$79</f>
        <v>-1000</v>
      </c>
      <c r="AF52" s="259">
        <f>-Businessplan_prodej!$E$79</f>
        <v>-1000</v>
      </c>
      <c r="AG52" s="259">
        <f>-Businessplan_prodej!$E$79</f>
        <v>-1000</v>
      </c>
      <c r="AH52" s="259">
        <f>-Businessplan_prodej!$E$79</f>
        <v>-1000</v>
      </c>
      <c r="AI52" s="259">
        <f>-Businessplan_prodej!$E$79</f>
        <v>-1000</v>
      </c>
      <c r="AJ52" s="259"/>
      <c r="AK52" s="259"/>
      <c r="AL52" s="259"/>
      <c r="AM52" s="259"/>
      <c r="AN52" s="259"/>
      <c r="AO52" s="259"/>
      <c r="AP52" s="259"/>
      <c r="AQ52" s="259"/>
      <c r="AR52" s="259"/>
      <c r="AS52" s="259"/>
      <c r="AT52" s="259"/>
      <c r="AU52" s="259"/>
      <c r="AV52" s="259"/>
      <c r="AW52" s="259"/>
      <c r="AX52" s="259"/>
      <c r="AY52" s="259"/>
      <c r="AZ52" s="259"/>
      <c r="BA52" s="259"/>
      <c r="BB52" s="259"/>
      <c r="BC52" s="259"/>
      <c r="BD52" s="259"/>
      <c r="BE52" s="259"/>
      <c r="BF52" s="259"/>
      <c r="BG52" s="259"/>
      <c r="BH52" s="259"/>
      <c r="BI52" s="259"/>
      <c r="BJ52" s="259"/>
      <c r="BK52" s="259"/>
      <c r="BL52" s="259"/>
      <c r="BM52" s="259"/>
      <c r="BN52" s="259"/>
      <c r="BO52" s="259"/>
      <c r="BP52" s="259"/>
      <c r="BQ52" s="259"/>
      <c r="BR52" s="259"/>
      <c r="BS52" s="259"/>
      <c r="BT52" s="259"/>
      <c r="BU52" s="259"/>
      <c r="BV52" s="259"/>
      <c r="BW52" s="259"/>
      <c r="BX52" s="265"/>
      <c r="BY52" s="267">
        <f t="shared" si="24"/>
        <v>-23527.54</v>
      </c>
      <c r="BZ52" s="564"/>
      <c r="CA52" s="229"/>
      <c r="CB52" s="229"/>
      <c r="CC52" s="229"/>
      <c r="CD52" s="256" t="e">
        <f t="shared" ca="1" si="25"/>
        <v>#N/A</v>
      </c>
      <c r="CE52" s="564"/>
    </row>
    <row r="53" spans="2:83" ht="15.95" outlineLevel="1">
      <c r="B53" s="569"/>
      <c r="C53" s="257" t="s">
        <v>231</v>
      </c>
      <c r="D53" s="261" t="s">
        <v>191</v>
      </c>
      <c r="E53" s="262"/>
      <c r="F53" s="262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  <c r="AA53" s="259"/>
      <c r="AB53" s="259"/>
      <c r="AC53" s="259"/>
      <c r="AD53" s="259"/>
      <c r="AE53" s="259"/>
      <c r="AF53" s="259"/>
      <c r="AG53" s="259"/>
      <c r="AH53" s="259"/>
      <c r="AI53" s="259"/>
      <c r="AJ53" s="259"/>
      <c r="AK53" s="259"/>
      <c r="AL53" s="259"/>
      <c r="AM53" s="259"/>
      <c r="AN53" s="259"/>
      <c r="AO53" s="259"/>
      <c r="AP53" s="259"/>
      <c r="AQ53" s="259"/>
      <c r="AR53" s="259"/>
      <c r="AS53" s="259"/>
      <c r="AT53" s="259"/>
      <c r="AU53" s="259"/>
      <c r="AV53" s="259"/>
      <c r="AW53" s="259"/>
      <c r="AX53" s="259"/>
      <c r="AY53" s="259"/>
      <c r="AZ53" s="259"/>
      <c r="BA53" s="259"/>
      <c r="BB53" s="259"/>
      <c r="BC53" s="259"/>
      <c r="BD53" s="259"/>
      <c r="BE53" s="259"/>
      <c r="BF53" s="259"/>
      <c r="BG53" s="259"/>
      <c r="BH53" s="259"/>
      <c r="BI53" s="259"/>
      <c r="BJ53" s="259"/>
      <c r="BK53" s="259"/>
      <c r="BL53" s="259"/>
      <c r="BM53" s="259"/>
      <c r="BN53" s="259"/>
      <c r="BO53" s="259"/>
      <c r="BP53" s="259"/>
      <c r="BQ53" s="259"/>
      <c r="BR53" s="259"/>
      <c r="BS53" s="259"/>
      <c r="BT53" s="259"/>
      <c r="BU53" s="259"/>
      <c r="BV53" s="259"/>
      <c r="BW53" s="259"/>
      <c r="BX53" s="265"/>
      <c r="BY53" s="269">
        <f t="shared" si="24"/>
        <v>0</v>
      </c>
      <c r="BZ53" s="564"/>
      <c r="CA53" s="229"/>
      <c r="CB53" s="229"/>
      <c r="CC53" s="229"/>
      <c r="CD53" s="256" t="e">
        <f t="shared" ca="1" si="25"/>
        <v>#N/A</v>
      </c>
      <c r="CE53" s="564"/>
    </row>
    <row r="54" spans="2:83" ht="15.95">
      <c r="B54" s="569"/>
      <c r="C54" s="252" t="s">
        <v>232</v>
      </c>
      <c r="D54" s="253"/>
      <c r="E54" s="254">
        <f t="shared" ref="E54:BX54" si="27">SUM(E55:E61)</f>
        <v>0</v>
      </c>
      <c r="F54" s="254">
        <f t="shared" si="27"/>
        <v>0</v>
      </c>
      <c r="G54" s="254">
        <f t="shared" si="27"/>
        <v>0</v>
      </c>
      <c r="H54" s="254">
        <f t="shared" si="27"/>
        <v>0</v>
      </c>
      <c r="I54" s="254">
        <f t="shared" si="27"/>
        <v>0</v>
      </c>
      <c r="J54" s="254">
        <f t="shared" si="27"/>
        <v>0</v>
      </c>
      <c r="K54" s="254">
        <f t="shared" si="27"/>
        <v>0</v>
      </c>
      <c r="L54" s="254">
        <f t="shared" si="27"/>
        <v>0</v>
      </c>
      <c r="M54" s="254">
        <f t="shared" si="27"/>
        <v>0</v>
      </c>
      <c r="N54" s="254">
        <f t="shared" si="27"/>
        <v>0</v>
      </c>
      <c r="O54" s="254">
        <f t="shared" si="27"/>
        <v>0</v>
      </c>
      <c r="P54" s="254">
        <f t="shared" si="27"/>
        <v>0</v>
      </c>
      <c r="Q54" s="254">
        <f t="shared" si="27"/>
        <v>0</v>
      </c>
      <c r="R54" s="254">
        <f t="shared" si="27"/>
        <v>0</v>
      </c>
      <c r="S54" s="254">
        <f t="shared" si="27"/>
        <v>0</v>
      </c>
      <c r="T54" s="254">
        <f t="shared" si="27"/>
        <v>0</v>
      </c>
      <c r="U54" s="254">
        <f t="shared" si="27"/>
        <v>0</v>
      </c>
      <c r="V54" s="254">
        <f t="shared" si="27"/>
        <v>0</v>
      </c>
      <c r="W54" s="254">
        <f t="shared" si="27"/>
        <v>0</v>
      </c>
      <c r="X54" s="254">
        <f t="shared" si="27"/>
        <v>0</v>
      </c>
      <c r="Y54" s="254">
        <f t="shared" si="27"/>
        <v>0</v>
      </c>
      <c r="Z54" s="254">
        <f t="shared" si="27"/>
        <v>0</v>
      </c>
      <c r="AA54" s="254">
        <f t="shared" si="27"/>
        <v>0</v>
      </c>
      <c r="AB54" s="254">
        <f t="shared" si="27"/>
        <v>0</v>
      </c>
      <c r="AC54" s="254">
        <f t="shared" si="27"/>
        <v>0</v>
      </c>
      <c r="AD54" s="254">
        <f t="shared" si="27"/>
        <v>0</v>
      </c>
      <c r="AE54" s="254">
        <f t="shared" si="27"/>
        <v>0</v>
      </c>
      <c r="AF54" s="254">
        <f t="shared" si="27"/>
        <v>0</v>
      </c>
      <c r="AG54" s="254">
        <f t="shared" si="27"/>
        <v>0</v>
      </c>
      <c r="AH54" s="254">
        <f t="shared" si="27"/>
        <v>0</v>
      </c>
      <c r="AI54" s="254">
        <f t="shared" si="27"/>
        <v>-3502457.0900000008</v>
      </c>
      <c r="AJ54" s="254">
        <f t="shared" si="27"/>
        <v>0</v>
      </c>
      <c r="AK54" s="254">
        <f t="shared" si="27"/>
        <v>0</v>
      </c>
      <c r="AL54" s="254">
        <f t="shared" si="27"/>
        <v>0</v>
      </c>
      <c r="AM54" s="254">
        <f t="shared" si="27"/>
        <v>0</v>
      </c>
      <c r="AN54" s="254">
        <f t="shared" si="27"/>
        <v>0</v>
      </c>
      <c r="AO54" s="254">
        <f t="shared" si="27"/>
        <v>0</v>
      </c>
      <c r="AP54" s="254">
        <f t="shared" si="27"/>
        <v>0</v>
      </c>
      <c r="AQ54" s="254">
        <f t="shared" si="27"/>
        <v>0</v>
      </c>
      <c r="AR54" s="254">
        <f t="shared" si="27"/>
        <v>0</v>
      </c>
      <c r="AS54" s="254">
        <f t="shared" si="27"/>
        <v>0</v>
      </c>
      <c r="AT54" s="254">
        <f t="shared" si="27"/>
        <v>0</v>
      </c>
      <c r="AU54" s="254">
        <f t="shared" si="27"/>
        <v>0</v>
      </c>
      <c r="AV54" s="254">
        <f t="shared" si="27"/>
        <v>0</v>
      </c>
      <c r="AW54" s="254">
        <f t="shared" si="27"/>
        <v>0</v>
      </c>
      <c r="AX54" s="254">
        <f t="shared" si="27"/>
        <v>0</v>
      </c>
      <c r="AY54" s="254">
        <f t="shared" si="27"/>
        <v>0</v>
      </c>
      <c r="AZ54" s="254">
        <f t="shared" si="27"/>
        <v>0</v>
      </c>
      <c r="BA54" s="254">
        <f t="shared" si="27"/>
        <v>0</v>
      </c>
      <c r="BB54" s="254">
        <f t="shared" si="27"/>
        <v>0</v>
      </c>
      <c r="BC54" s="254">
        <f t="shared" si="27"/>
        <v>0</v>
      </c>
      <c r="BD54" s="254">
        <f t="shared" si="27"/>
        <v>0</v>
      </c>
      <c r="BE54" s="254">
        <f t="shared" si="27"/>
        <v>0</v>
      </c>
      <c r="BF54" s="254">
        <f t="shared" si="27"/>
        <v>0</v>
      </c>
      <c r="BG54" s="254">
        <f t="shared" si="27"/>
        <v>0</v>
      </c>
      <c r="BH54" s="254">
        <f t="shared" si="27"/>
        <v>0</v>
      </c>
      <c r="BI54" s="254">
        <f t="shared" si="27"/>
        <v>0</v>
      </c>
      <c r="BJ54" s="254">
        <f t="shared" si="27"/>
        <v>0</v>
      </c>
      <c r="BK54" s="254">
        <f t="shared" si="27"/>
        <v>0</v>
      </c>
      <c r="BL54" s="254">
        <f t="shared" si="27"/>
        <v>0</v>
      </c>
      <c r="BM54" s="254">
        <f t="shared" si="27"/>
        <v>0</v>
      </c>
      <c r="BN54" s="254">
        <f t="shared" si="27"/>
        <v>0</v>
      </c>
      <c r="BO54" s="254">
        <f t="shared" si="27"/>
        <v>0</v>
      </c>
      <c r="BP54" s="254">
        <f t="shared" si="27"/>
        <v>0</v>
      </c>
      <c r="BQ54" s="254">
        <f t="shared" si="27"/>
        <v>0</v>
      </c>
      <c r="BR54" s="254">
        <f t="shared" si="27"/>
        <v>0</v>
      </c>
      <c r="BS54" s="254">
        <f t="shared" si="27"/>
        <v>0</v>
      </c>
      <c r="BT54" s="254">
        <f t="shared" si="27"/>
        <v>0</v>
      </c>
      <c r="BU54" s="254">
        <f t="shared" si="27"/>
        <v>0</v>
      </c>
      <c r="BV54" s="254">
        <f t="shared" si="27"/>
        <v>0</v>
      </c>
      <c r="BW54" s="254">
        <f t="shared" si="27"/>
        <v>0</v>
      </c>
      <c r="BX54" s="254">
        <f t="shared" si="27"/>
        <v>0</v>
      </c>
      <c r="BY54" s="256">
        <f>SUM(BY55:BY61)</f>
        <v>-3502457.0900000008</v>
      </c>
      <c r="BZ54" s="564"/>
      <c r="CA54" s="229"/>
      <c r="CB54" s="229"/>
      <c r="CC54" s="229"/>
      <c r="CD54" s="256" t="e">
        <f t="array" aca="1" ref="CD54" ca="1">SUM(INDEX(E54:BX54, , 1):INDEX(E54:BX54, ,MATCH($CD$4, $E$3:$BX$3,0) ))</f>
        <v>#N/A</v>
      </c>
      <c r="CE54" s="564"/>
    </row>
    <row r="55" spans="2:83" ht="15.95" outlineLevel="1">
      <c r="B55" s="569"/>
      <c r="C55" s="257" t="s">
        <v>233</v>
      </c>
      <c r="D55" s="274">
        <v>0.11</v>
      </c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>
        <f>-SUM('Interest Calc EQ BASE'!E8:E37)-'Interest Calc EQ BASE'!E37</f>
        <v>-1760813.5233333337</v>
      </c>
      <c r="AJ55" s="259"/>
      <c r="AK55" s="259"/>
      <c r="AL55" s="259"/>
      <c r="AM55" s="259"/>
      <c r="AN55" s="259"/>
      <c r="AO55" s="259"/>
      <c r="AP55" s="259"/>
      <c r="AQ55" s="259"/>
      <c r="AR55" s="259"/>
      <c r="AS55" s="259"/>
      <c r="AT55" s="259"/>
      <c r="AU55" s="259"/>
      <c r="AV55" s="259"/>
      <c r="AW55" s="259"/>
      <c r="AX55" s="259"/>
      <c r="AY55" s="259"/>
      <c r="AZ55" s="259"/>
      <c r="BA55" s="259"/>
      <c r="BB55" s="259"/>
      <c r="BC55" s="259"/>
      <c r="BD55" s="259"/>
      <c r="BE55" s="259"/>
      <c r="BF55" s="259"/>
      <c r="BG55" s="259"/>
      <c r="BH55" s="259"/>
      <c r="BI55" s="259"/>
      <c r="BJ55" s="259"/>
      <c r="BK55" s="259"/>
      <c r="BL55" s="259"/>
      <c r="BM55" s="265"/>
      <c r="BN55" s="265"/>
      <c r="BO55" s="265"/>
      <c r="BP55" s="265"/>
      <c r="BQ55" s="265"/>
      <c r="BR55" s="265"/>
      <c r="BS55" s="265"/>
      <c r="BT55" s="265"/>
      <c r="BU55" s="265"/>
      <c r="BV55" s="265"/>
      <c r="BW55" s="265"/>
      <c r="BX55" s="265"/>
      <c r="BY55" s="275">
        <f t="shared" ref="BY55:BY61" si="28">SUM(E55:BX55)</f>
        <v>-1760813.5233333337</v>
      </c>
      <c r="BZ55" s="564"/>
      <c r="CA55" s="229"/>
      <c r="CB55" s="229"/>
      <c r="CC55" s="229"/>
      <c r="CD55" s="256" t="e">
        <f t="shared" ref="CD55:CD58" ca="1" si="29">SUM(INDEX(AC55:BX55, , 1):INDEX(AC55:BX55, ,MATCH(CD11, E10:BX10,0) ))</f>
        <v>#N/A</v>
      </c>
      <c r="CE55" s="564"/>
    </row>
    <row r="56" spans="2:83" ht="15.95" outlineLevel="1">
      <c r="B56" s="569"/>
      <c r="C56" s="257" t="s">
        <v>234</v>
      </c>
      <c r="D56" s="274">
        <v>0.11</v>
      </c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59"/>
      <c r="AH56" s="259"/>
      <c r="AI56" s="259">
        <f>-SUM('Interest Calc EQ BASE'!J15:J38)-'Interest Calc EQ BASE'!J37</f>
        <v>-1741643.5666666669</v>
      </c>
      <c r="AJ56" s="259"/>
      <c r="AK56" s="259"/>
      <c r="AL56" s="259"/>
      <c r="AM56" s="259"/>
      <c r="AN56" s="259"/>
      <c r="AO56" s="259"/>
      <c r="AP56" s="259"/>
      <c r="AQ56" s="259"/>
      <c r="AR56" s="259"/>
      <c r="AS56" s="259"/>
      <c r="AT56" s="259"/>
      <c r="AU56" s="259"/>
      <c r="AV56" s="259"/>
      <c r="AW56" s="259"/>
      <c r="AX56" s="259"/>
      <c r="AY56" s="259"/>
      <c r="AZ56" s="259"/>
      <c r="BA56" s="259"/>
      <c r="BB56" s="259"/>
      <c r="BC56" s="259"/>
      <c r="BD56" s="259"/>
      <c r="BE56" s="259"/>
      <c r="BF56" s="259"/>
      <c r="BG56" s="259"/>
      <c r="BH56" s="259"/>
      <c r="BI56" s="259"/>
      <c r="BJ56" s="259"/>
      <c r="BK56" s="259"/>
      <c r="BL56" s="259"/>
      <c r="BM56" s="265"/>
      <c r="BN56" s="265"/>
      <c r="BO56" s="265"/>
      <c r="BP56" s="265"/>
      <c r="BQ56" s="265"/>
      <c r="BR56" s="265"/>
      <c r="BS56" s="265"/>
      <c r="BT56" s="265"/>
      <c r="BU56" s="265"/>
      <c r="BV56" s="265"/>
      <c r="BW56" s="265"/>
      <c r="BX56" s="265"/>
      <c r="BY56" s="276">
        <f t="shared" si="28"/>
        <v>-1741643.5666666669</v>
      </c>
      <c r="BZ56" s="564"/>
      <c r="CA56" s="229"/>
      <c r="CB56" s="229"/>
      <c r="CC56" s="229"/>
      <c r="CD56" s="256" t="e">
        <f t="shared" ca="1" si="29"/>
        <v>#N/A</v>
      </c>
      <c r="CE56" s="564"/>
    </row>
    <row r="57" spans="2:83" ht="15.95" outlineLevel="1">
      <c r="B57" s="569"/>
      <c r="C57" s="257" t="s">
        <v>235</v>
      </c>
      <c r="D57" s="274">
        <v>0.105</v>
      </c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>
        <f>-BY7</f>
        <v>0</v>
      </c>
      <c r="AJ57" s="259"/>
      <c r="AK57" s="259"/>
      <c r="AL57" s="259"/>
      <c r="AM57" s="259"/>
      <c r="AN57" s="259"/>
      <c r="AO57" s="259"/>
      <c r="AP57" s="259"/>
      <c r="AQ57" s="259"/>
      <c r="AR57" s="259"/>
      <c r="AS57" s="259"/>
      <c r="AT57" s="259"/>
      <c r="AU57" s="259"/>
      <c r="AV57" s="259"/>
      <c r="AW57" s="259"/>
      <c r="AX57" s="259"/>
      <c r="AY57" s="259"/>
      <c r="AZ57" s="259"/>
      <c r="BA57" s="259"/>
      <c r="BB57" s="259"/>
      <c r="BC57" s="259"/>
      <c r="BD57" s="259"/>
      <c r="BE57" s="259"/>
      <c r="BF57" s="259"/>
      <c r="BG57" s="259"/>
      <c r="BH57" s="259"/>
      <c r="BI57" s="259"/>
      <c r="BJ57" s="259"/>
      <c r="BK57" s="259"/>
      <c r="BL57" s="259"/>
      <c r="BM57" s="265"/>
      <c r="BN57" s="265"/>
      <c r="BO57" s="265"/>
      <c r="BP57" s="265"/>
      <c r="BQ57" s="265"/>
      <c r="BR57" s="265"/>
      <c r="BS57" s="265"/>
      <c r="BT57" s="265"/>
      <c r="BU57" s="265"/>
      <c r="BV57" s="265"/>
      <c r="BW57" s="265"/>
      <c r="BX57" s="265"/>
      <c r="BY57" s="276">
        <f t="shared" si="28"/>
        <v>0</v>
      </c>
      <c r="BZ57" s="564"/>
      <c r="CA57" s="229"/>
      <c r="CB57" s="229"/>
      <c r="CC57" s="229"/>
      <c r="CD57" s="256" t="e">
        <f t="shared" ca="1" si="29"/>
        <v>#N/A</v>
      </c>
      <c r="CE57" s="564"/>
    </row>
    <row r="58" spans="2:83" ht="15.95" outlineLevel="1">
      <c r="B58" s="569"/>
      <c r="C58" s="257" t="s">
        <v>236</v>
      </c>
      <c r="D58" s="274">
        <v>0.105</v>
      </c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59"/>
      <c r="AN58" s="259"/>
      <c r="AO58" s="259"/>
      <c r="AP58" s="259"/>
      <c r="AQ58" s="259"/>
      <c r="AR58" s="259"/>
      <c r="AS58" s="259"/>
      <c r="AT58" s="259"/>
      <c r="AU58" s="259"/>
      <c r="AV58" s="259"/>
      <c r="AW58" s="259"/>
      <c r="AX58" s="259"/>
      <c r="AY58" s="259"/>
      <c r="AZ58" s="259"/>
      <c r="BA58" s="259"/>
      <c r="BB58" s="259"/>
      <c r="BC58" s="259"/>
      <c r="BD58" s="259"/>
      <c r="BE58" s="259"/>
      <c r="BF58" s="259"/>
      <c r="BG58" s="259"/>
      <c r="BH58" s="259"/>
      <c r="BI58" s="259"/>
      <c r="BJ58" s="259"/>
      <c r="BK58" s="259"/>
      <c r="BL58" s="259"/>
      <c r="BM58" s="265"/>
      <c r="BN58" s="265"/>
      <c r="BO58" s="265"/>
      <c r="BP58" s="265"/>
      <c r="BQ58" s="265"/>
      <c r="BR58" s="265"/>
      <c r="BS58" s="265"/>
      <c r="BT58" s="265"/>
      <c r="BU58" s="265"/>
      <c r="BV58" s="265"/>
      <c r="BW58" s="265"/>
      <c r="BX58" s="265"/>
      <c r="BY58" s="276">
        <f t="shared" si="28"/>
        <v>0</v>
      </c>
      <c r="BZ58" s="564"/>
      <c r="CA58" s="229"/>
      <c r="CB58" s="229"/>
      <c r="CC58" s="229"/>
      <c r="CD58" s="256" t="e">
        <f t="shared" ca="1" si="29"/>
        <v>#N/A</v>
      </c>
      <c r="CE58" s="564"/>
    </row>
    <row r="59" spans="2:83" ht="15.95" outlineLevel="1">
      <c r="B59" s="569"/>
      <c r="C59" s="257" t="s">
        <v>237</v>
      </c>
      <c r="D59" s="274">
        <v>0.15</v>
      </c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65"/>
      <c r="BN59" s="265"/>
      <c r="BO59" s="265"/>
      <c r="BP59" s="265"/>
      <c r="BQ59" s="265"/>
      <c r="BR59" s="265"/>
      <c r="BS59" s="265"/>
      <c r="BT59" s="265"/>
      <c r="BU59" s="265"/>
      <c r="BV59" s="265"/>
      <c r="BW59" s="265"/>
      <c r="BX59" s="265"/>
      <c r="BY59" s="277">
        <f t="shared" si="28"/>
        <v>0</v>
      </c>
      <c r="BZ59" s="564"/>
      <c r="CA59" s="229"/>
      <c r="CB59" s="229"/>
      <c r="CC59" s="229"/>
      <c r="CD59" s="256" t="e">
        <f t="array" aca="1" ref="CD59" ca="1">SUM(INDEX(AC59:BX59, , 1):INDEX(AC59:BX59, ,MATCH(CD16, E14:BX14,0) ))</f>
        <v>#N/A</v>
      </c>
      <c r="CE59" s="564"/>
    </row>
    <row r="60" spans="2:83" ht="15.95" outlineLevel="1">
      <c r="B60" s="569"/>
      <c r="C60" s="257" t="s">
        <v>238</v>
      </c>
      <c r="D60" s="278">
        <f>25%/12</f>
        <v>2.0833333333333332E-2</v>
      </c>
      <c r="E60" s="262"/>
      <c r="F60" s="262"/>
      <c r="G60" s="262"/>
      <c r="H60" s="262"/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62"/>
      <c r="AK60" s="262"/>
      <c r="AL60" s="262"/>
      <c r="AM60" s="262"/>
      <c r="AN60" s="262"/>
      <c r="AO60" s="262"/>
      <c r="AP60" s="262"/>
      <c r="AQ60" s="262"/>
      <c r="AR60" s="262"/>
      <c r="AS60" s="262"/>
      <c r="AT60" s="262"/>
      <c r="AU60" s="262"/>
      <c r="AV60" s="262"/>
      <c r="AW60" s="262"/>
      <c r="AX60" s="262"/>
      <c r="AY60" s="262"/>
      <c r="AZ60" s="262"/>
      <c r="BA60" s="262"/>
      <c r="BB60" s="262"/>
      <c r="BC60" s="262"/>
      <c r="BD60" s="262"/>
      <c r="BE60" s="262"/>
      <c r="BF60" s="262"/>
      <c r="BG60" s="262"/>
      <c r="BH60" s="262"/>
      <c r="BI60" s="262"/>
      <c r="BJ60" s="262"/>
      <c r="BK60" s="262"/>
      <c r="BL60" s="259"/>
      <c r="BM60" s="265"/>
      <c r="BN60" s="265"/>
      <c r="BO60" s="265"/>
      <c r="BP60" s="265"/>
      <c r="BQ60" s="265"/>
      <c r="BR60" s="265"/>
      <c r="BS60" s="265"/>
      <c r="BT60" s="265"/>
      <c r="BU60" s="265"/>
      <c r="BV60" s="265"/>
      <c r="BW60" s="265"/>
      <c r="BX60" s="265"/>
      <c r="BY60" s="277">
        <f t="shared" si="28"/>
        <v>0</v>
      </c>
      <c r="BZ60" s="564"/>
      <c r="CA60" s="229"/>
      <c r="CB60" s="229"/>
      <c r="CC60" s="229"/>
      <c r="CD60" s="256" t="e">
        <f t="shared" ref="CD60:CD61" ca="1" si="30">SUM(INDEX(AC60:BX60, , 1):INDEX(AC60:BX60, ,MATCH(CD17, E16:BX16,0) ))</f>
        <v>#N/A</v>
      </c>
      <c r="CE60" s="564"/>
    </row>
    <row r="61" spans="2:83" ht="15.95" outlineLevel="1">
      <c r="B61" s="569"/>
      <c r="C61" s="279" t="s">
        <v>239</v>
      </c>
      <c r="D61" s="280">
        <v>0.08</v>
      </c>
      <c r="E61" s="281"/>
      <c r="F61" s="281"/>
      <c r="G61" s="281"/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1"/>
      <c r="AI61" s="281"/>
      <c r="AJ61" s="281"/>
      <c r="AK61" s="281"/>
      <c r="AL61" s="281"/>
      <c r="AM61" s="281"/>
      <c r="AN61" s="281"/>
      <c r="AO61" s="281"/>
      <c r="AP61" s="281"/>
      <c r="AQ61" s="281"/>
      <c r="AR61" s="281"/>
      <c r="AS61" s="281"/>
      <c r="AT61" s="281"/>
      <c r="AU61" s="281"/>
      <c r="AV61" s="281"/>
      <c r="AW61" s="281"/>
      <c r="AX61" s="281"/>
      <c r="AY61" s="281"/>
      <c r="AZ61" s="281"/>
      <c r="BA61" s="281"/>
      <c r="BB61" s="281"/>
      <c r="BC61" s="281"/>
      <c r="BD61" s="281"/>
      <c r="BE61" s="281"/>
      <c r="BF61" s="281"/>
      <c r="BG61" s="281"/>
      <c r="BH61" s="281"/>
      <c r="BI61" s="281"/>
      <c r="BJ61" s="281"/>
      <c r="BK61" s="281"/>
      <c r="BL61" s="281"/>
      <c r="BM61" s="282"/>
      <c r="BN61" s="282"/>
      <c r="BO61" s="282"/>
      <c r="BP61" s="282"/>
      <c r="BQ61" s="282"/>
      <c r="BR61" s="282"/>
      <c r="BS61" s="282"/>
      <c r="BT61" s="282"/>
      <c r="BU61" s="282"/>
      <c r="BV61" s="282"/>
      <c r="BW61" s="282"/>
      <c r="BX61" s="282"/>
      <c r="BY61" s="283">
        <f t="shared" si="28"/>
        <v>0</v>
      </c>
      <c r="BZ61" s="564"/>
      <c r="CA61" s="229"/>
      <c r="CB61" s="229"/>
      <c r="CC61" s="229"/>
      <c r="CD61" s="256" t="e">
        <f t="shared" ca="1" si="30"/>
        <v>#N/A</v>
      </c>
      <c r="CE61" s="564"/>
    </row>
    <row r="62" spans="2:83" ht="15.95" collapsed="1">
      <c r="B62" s="569"/>
      <c r="C62" s="252" t="s">
        <v>240</v>
      </c>
      <c r="D62" s="253"/>
      <c r="E62" s="254">
        <f t="shared" ref="E62:BY62" si="31">SUM(E63:E69)</f>
        <v>0</v>
      </c>
      <c r="F62" s="254">
        <f t="shared" si="31"/>
        <v>0</v>
      </c>
      <c r="G62" s="254">
        <f t="shared" si="31"/>
        <v>0</v>
      </c>
      <c r="H62" s="254">
        <f t="shared" si="31"/>
        <v>0</v>
      </c>
      <c r="I62" s="254">
        <f t="shared" si="31"/>
        <v>0</v>
      </c>
      <c r="J62" s="254">
        <f t="shared" si="31"/>
        <v>0</v>
      </c>
      <c r="K62" s="254">
        <f t="shared" si="31"/>
        <v>0</v>
      </c>
      <c r="L62" s="254">
        <f t="shared" si="31"/>
        <v>0</v>
      </c>
      <c r="M62" s="254">
        <f t="shared" si="31"/>
        <v>0</v>
      </c>
      <c r="N62" s="254">
        <f t="shared" si="31"/>
        <v>0</v>
      </c>
      <c r="O62" s="254">
        <f t="shared" si="31"/>
        <v>0</v>
      </c>
      <c r="P62" s="254">
        <f t="shared" si="31"/>
        <v>0</v>
      </c>
      <c r="Q62" s="254">
        <f t="shared" si="31"/>
        <v>0</v>
      </c>
      <c r="R62" s="254">
        <f t="shared" si="31"/>
        <v>0</v>
      </c>
      <c r="S62" s="254">
        <f t="shared" si="31"/>
        <v>0</v>
      </c>
      <c r="T62" s="254">
        <f t="shared" si="31"/>
        <v>0</v>
      </c>
      <c r="U62" s="254">
        <f t="shared" si="31"/>
        <v>0</v>
      </c>
      <c r="V62" s="254">
        <f t="shared" si="31"/>
        <v>0</v>
      </c>
      <c r="W62" s="254">
        <f t="shared" si="31"/>
        <v>0</v>
      </c>
      <c r="X62" s="254">
        <f t="shared" si="31"/>
        <v>0</v>
      </c>
      <c r="Y62" s="254">
        <f t="shared" si="31"/>
        <v>0</v>
      </c>
      <c r="Z62" s="254">
        <f t="shared" si="31"/>
        <v>0</v>
      </c>
      <c r="AA62" s="254">
        <f t="shared" si="31"/>
        <v>0</v>
      </c>
      <c r="AB62" s="254">
        <f t="shared" si="31"/>
        <v>0</v>
      </c>
      <c r="AC62" s="254">
        <f t="shared" si="31"/>
        <v>0</v>
      </c>
      <c r="AD62" s="254">
        <f t="shared" si="31"/>
        <v>0</v>
      </c>
      <c r="AE62" s="254">
        <f t="shared" si="31"/>
        <v>0</v>
      </c>
      <c r="AF62" s="254">
        <f t="shared" si="31"/>
        <v>0</v>
      </c>
      <c r="AG62" s="254">
        <f t="shared" si="31"/>
        <v>0</v>
      </c>
      <c r="AH62" s="254">
        <f t="shared" si="31"/>
        <v>0</v>
      </c>
      <c r="AI62" s="254">
        <f t="shared" si="31"/>
        <v>-1180921.6428571427</v>
      </c>
      <c r="AJ62" s="254">
        <f t="shared" si="31"/>
        <v>0</v>
      </c>
      <c r="AK62" s="254">
        <f t="shared" si="31"/>
        <v>0</v>
      </c>
      <c r="AL62" s="254">
        <f t="shared" si="31"/>
        <v>0</v>
      </c>
      <c r="AM62" s="254">
        <f t="shared" si="31"/>
        <v>0</v>
      </c>
      <c r="AN62" s="254">
        <f t="shared" si="31"/>
        <v>0</v>
      </c>
      <c r="AO62" s="254">
        <f t="shared" si="31"/>
        <v>0</v>
      </c>
      <c r="AP62" s="254">
        <f t="shared" si="31"/>
        <v>0</v>
      </c>
      <c r="AQ62" s="254">
        <f t="shared" si="31"/>
        <v>0</v>
      </c>
      <c r="AR62" s="254">
        <f t="shared" si="31"/>
        <v>0</v>
      </c>
      <c r="AS62" s="254">
        <f t="shared" si="31"/>
        <v>0</v>
      </c>
      <c r="AT62" s="254">
        <f t="shared" si="31"/>
        <v>0</v>
      </c>
      <c r="AU62" s="254">
        <f t="shared" si="31"/>
        <v>0</v>
      </c>
      <c r="AV62" s="254">
        <f t="shared" si="31"/>
        <v>0</v>
      </c>
      <c r="AW62" s="254">
        <f t="shared" si="31"/>
        <v>0</v>
      </c>
      <c r="AX62" s="254">
        <f t="shared" si="31"/>
        <v>0</v>
      </c>
      <c r="AY62" s="254">
        <f t="shared" si="31"/>
        <v>0</v>
      </c>
      <c r="AZ62" s="254">
        <f t="shared" si="31"/>
        <v>0</v>
      </c>
      <c r="BA62" s="254">
        <f t="shared" si="31"/>
        <v>0</v>
      </c>
      <c r="BB62" s="254">
        <f t="shared" si="31"/>
        <v>0</v>
      </c>
      <c r="BC62" s="254">
        <f t="shared" si="31"/>
        <v>0</v>
      </c>
      <c r="BD62" s="254">
        <f t="shared" si="31"/>
        <v>0</v>
      </c>
      <c r="BE62" s="254">
        <f t="shared" si="31"/>
        <v>0</v>
      </c>
      <c r="BF62" s="254">
        <f t="shared" si="31"/>
        <v>0</v>
      </c>
      <c r="BG62" s="254">
        <f t="shared" si="31"/>
        <v>0</v>
      </c>
      <c r="BH62" s="254">
        <f t="shared" si="31"/>
        <v>0</v>
      </c>
      <c r="BI62" s="254">
        <f t="shared" si="31"/>
        <v>0</v>
      </c>
      <c r="BJ62" s="254">
        <f t="shared" si="31"/>
        <v>0</v>
      </c>
      <c r="BK62" s="254">
        <f t="shared" si="31"/>
        <v>0</v>
      </c>
      <c r="BL62" s="254">
        <f t="shared" si="31"/>
        <v>0</v>
      </c>
      <c r="BM62" s="254">
        <f t="shared" si="31"/>
        <v>0</v>
      </c>
      <c r="BN62" s="254">
        <f t="shared" si="31"/>
        <v>0</v>
      </c>
      <c r="BO62" s="254">
        <f t="shared" si="31"/>
        <v>0</v>
      </c>
      <c r="BP62" s="254">
        <f t="shared" si="31"/>
        <v>0</v>
      </c>
      <c r="BQ62" s="254">
        <f t="shared" si="31"/>
        <v>0</v>
      </c>
      <c r="BR62" s="254">
        <f t="shared" si="31"/>
        <v>0</v>
      </c>
      <c r="BS62" s="254">
        <f t="shared" si="31"/>
        <v>0</v>
      </c>
      <c r="BT62" s="254">
        <f t="shared" si="31"/>
        <v>0</v>
      </c>
      <c r="BU62" s="254">
        <f t="shared" si="31"/>
        <v>0</v>
      </c>
      <c r="BV62" s="254">
        <f t="shared" si="31"/>
        <v>0</v>
      </c>
      <c r="BW62" s="254">
        <f t="shared" si="31"/>
        <v>0</v>
      </c>
      <c r="BX62" s="254">
        <f t="shared" si="31"/>
        <v>0</v>
      </c>
      <c r="BY62" s="255">
        <f t="shared" si="31"/>
        <v>-1180921.6428571427</v>
      </c>
      <c r="BZ62" s="564"/>
      <c r="CA62" s="229"/>
      <c r="CB62" s="229"/>
      <c r="CC62" s="229"/>
      <c r="CD62" s="256" t="e">
        <f t="array" aca="1" ref="CD62" ca="1">SUM(INDEX(E62:BX62, , 1):INDEX(E62:BX62, ,MATCH($CD$4, $E$3:$BX$3,0) ))</f>
        <v>#N/A</v>
      </c>
      <c r="CE62" s="564"/>
    </row>
    <row r="63" spans="2:83" ht="15.95" hidden="1" outlineLevel="1">
      <c r="B63" s="569"/>
      <c r="C63" s="284" t="s">
        <v>83</v>
      </c>
      <c r="D63" s="258" t="s">
        <v>191</v>
      </c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  <c r="AA63" s="285"/>
      <c r="AB63" s="285"/>
      <c r="AC63" s="285"/>
      <c r="AD63" s="285"/>
      <c r="AE63" s="285"/>
      <c r="AF63" s="285"/>
      <c r="AG63" s="285"/>
      <c r="AH63" s="285"/>
      <c r="AI63" s="285">
        <f>-Businessplan_prodej!$N$21/12</f>
        <v>-49937.5</v>
      </c>
      <c r="AJ63" s="285"/>
      <c r="AK63" s="285"/>
      <c r="AL63" s="285"/>
      <c r="AM63" s="285"/>
      <c r="AN63" s="285"/>
      <c r="AO63" s="285"/>
      <c r="AP63" s="285"/>
      <c r="AQ63" s="285"/>
      <c r="AR63" s="285"/>
      <c r="AS63" s="285"/>
      <c r="AT63" s="285"/>
      <c r="AU63" s="285"/>
      <c r="AV63" s="285"/>
      <c r="AW63" s="285"/>
      <c r="AX63" s="285"/>
      <c r="AY63" s="285"/>
      <c r="AZ63" s="285"/>
      <c r="BA63" s="285"/>
      <c r="BB63" s="285"/>
      <c r="BC63" s="285"/>
      <c r="BD63" s="285"/>
      <c r="BE63" s="285"/>
      <c r="BF63" s="285"/>
      <c r="BG63" s="285"/>
      <c r="BH63" s="285"/>
      <c r="BI63" s="285"/>
      <c r="BJ63" s="285"/>
      <c r="BK63" s="285"/>
      <c r="BL63" s="285"/>
      <c r="BM63" s="285"/>
      <c r="BN63" s="285"/>
      <c r="BO63" s="285"/>
      <c r="BP63" s="285"/>
      <c r="BQ63" s="285"/>
      <c r="BR63" s="285"/>
      <c r="BS63" s="285"/>
      <c r="BT63" s="285"/>
      <c r="BU63" s="285"/>
      <c r="BV63" s="285"/>
      <c r="BW63" s="285"/>
      <c r="BX63" s="285"/>
      <c r="BY63" s="286">
        <f t="shared" ref="BY63:BY69" si="32">SUM(E63:BX63)</f>
        <v>-49937.5</v>
      </c>
      <c r="BZ63" s="564"/>
      <c r="CA63" s="229"/>
      <c r="CB63" s="229"/>
      <c r="CC63" s="229" t="s">
        <v>241</v>
      </c>
      <c r="CD63" s="256" t="e">
        <f t="shared" ref="CD63:CD68" ca="1" si="33">SUM(INDEX(AC63:BX63, , 1):INDEX(AC63:BX63, ,MATCH(CD36, E35:BX35,0) ))</f>
        <v>#REF!</v>
      </c>
      <c r="CE63" s="564"/>
    </row>
    <row r="64" spans="2:83" ht="15.95" hidden="1" outlineLevel="1">
      <c r="B64" s="569"/>
      <c r="C64" s="284" t="s">
        <v>242</v>
      </c>
      <c r="D64" s="258" t="s">
        <v>191</v>
      </c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/>
      <c r="AM64" s="285"/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6">
        <f t="shared" si="32"/>
        <v>0</v>
      </c>
      <c r="BZ64" s="564"/>
      <c r="CA64" s="229"/>
      <c r="CB64" s="229"/>
      <c r="CC64" s="229"/>
      <c r="CD64" s="256" t="e">
        <f t="shared" ca="1" si="33"/>
        <v>#REF!</v>
      </c>
      <c r="CE64" s="564"/>
    </row>
    <row r="65" spans="2:83" ht="15.95" hidden="1" outlineLevel="1">
      <c r="B65" s="569"/>
      <c r="C65" s="287" t="s">
        <v>222</v>
      </c>
      <c r="D65" s="258" t="s">
        <v>191</v>
      </c>
      <c r="E65" s="285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259"/>
      <c r="AO65" s="259"/>
      <c r="AP65" s="259"/>
      <c r="AQ65" s="259"/>
      <c r="AR65" s="259"/>
      <c r="AS65" s="259"/>
      <c r="AT65" s="259"/>
      <c r="AU65" s="259"/>
      <c r="AV65" s="259"/>
      <c r="AW65" s="259"/>
      <c r="AX65" s="259"/>
      <c r="AY65" s="259"/>
      <c r="AZ65" s="259"/>
      <c r="BA65" s="259"/>
      <c r="BB65" s="259"/>
      <c r="BC65" s="259"/>
      <c r="BD65" s="259"/>
      <c r="BE65" s="259"/>
      <c r="BF65" s="259"/>
      <c r="BG65" s="259"/>
      <c r="BH65" s="259"/>
      <c r="BI65" s="259"/>
      <c r="BJ65" s="259"/>
      <c r="BK65" s="259"/>
      <c r="BL65" s="259"/>
      <c r="BM65" s="259"/>
      <c r="BN65" s="259"/>
      <c r="BO65" s="259"/>
      <c r="BP65" s="259"/>
      <c r="BQ65" s="259"/>
      <c r="BR65" s="259"/>
      <c r="BS65" s="259"/>
      <c r="BT65" s="259"/>
      <c r="BU65" s="259"/>
      <c r="BV65" s="259"/>
      <c r="BW65" s="259"/>
      <c r="BX65" s="259"/>
      <c r="BY65" s="286">
        <f t="shared" si="32"/>
        <v>0</v>
      </c>
      <c r="BZ65" s="564"/>
      <c r="CA65" s="229"/>
      <c r="CB65" s="229"/>
      <c r="CC65" s="229"/>
      <c r="CD65" s="256" t="e">
        <f t="shared" ca="1" si="33"/>
        <v>#N/A</v>
      </c>
      <c r="CE65" s="564"/>
    </row>
    <row r="66" spans="2:83" ht="15.95" hidden="1" outlineLevel="1">
      <c r="B66" s="569"/>
      <c r="C66" s="284" t="s">
        <v>223</v>
      </c>
      <c r="D66" s="258" t="s">
        <v>191</v>
      </c>
      <c r="E66" s="285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259"/>
      <c r="BV66" s="259"/>
      <c r="BW66" s="259"/>
      <c r="BX66" s="259"/>
      <c r="BY66" s="286">
        <f t="shared" si="32"/>
        <v>0</v>
      </c>
      <c r="BZ66" s="564"/>
      <c r="CA66" s="229"/>
      <c r="CB66" s="229"/>
      <c r="CC66" s="229"/>
      <c r="CD66" s="256" t="e">
        <f t="shared" ca="1" si="33"/>
        <v>#REF!</v>
      </c>
      <c r="CE66" s="564"/>
    </row>
    <row r="67" spans="2:83" ht="15.95" hidden="1" outlineLevel="1">
      <c r="B67" s="569"/>
      <c r="C67" s="284" t="s">
        <v>230</v>
      </c>
      <c r="D67" s="258" t="s">
        <v>191</v>
      </c>
      <c r="E67" s="285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259"/>
      <c r="AO67" s="259"/>
      <c r="AP67" s="259"/>
      <c r="AQ67" s="259"/>
      <c r="AR67" s="259"/>
      <c r="AS67" s="259"/>
      <c r="AT67" s="259"/>
      <c r="AU67" s="259"/>
      <c r="AV67" s="259"/>
      <c r="AW67" s="259"/>
      <c r="AX67" s="259"/>
      <c r="AY67" s="259"/>
      <c r="AZ67" s="259"/>
      <c r="BA67" s="259"/>
      <c r="BB67" s="259"/>
      <c r="BC67" s="259"/>
      <c r="BD67" s="259"/>
      <c r="BE67" s="259"/>
      <c r="BF67" s="259"/>
      <c r="BG67" s="259"/>
      <c r="BH67" s="259"/>
      <c r="BI67" s="259"/>
      <c r="BJ67" s="259"/>
      <c r="BK67" s="259"/>
      <c r="BL67" s="259"/>
      <c r="BM67" s="259"/>
      <c r="BN67" s="259"/>
      <c r="BO67" s="259"/>
      <c r="BP67" s="259"/>
      <c r="BQ67" s="259"/>
      <c r="BR67" s="259"/>
      <c r="BS67" s="259"/>
      <c r="BT67" s="259"/>
      <c r="BU67" s="259"/>
      <c r="BV67" s="259"/>
      <c r="BW67" s="259"/>
      <c r="BX67" s="259"/>
      <c r="BY67" s="286">
        <f t="shared" si="32"/>
        <v>0</v>
      </c>
      <c r="BZ67" s="564"/>
      <c r="CA67" s="229"/>
      <c r="CB67" s="229"/>
      <c r="CC67" s="229"/>
      <c r="CD67" s="256" t="e">
        <f t="shared" ca="1" si="33"/>
        <v>#REF!</v>
      </c>
      <c r="CE67" s="564"/>
    </row>
    <row r="68" spans="2:83" ht="15.95" hidden="1" outlineLevel="1">
      <c r="B68" s="569"/>
      <c r="C68" s="284" t="s">
        <v>231</v>
      </c>
      <c r="D68" s="258" t="s">
        <v>191</v>
      </c>
      <c r="E68" s="285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259"/>
      <c r="AO68" s="259"/>
      <c r="AP68" s="259"/>
      <c r="AQ68" s="259"/>
      <c r="AR68" s="259"/>
      <c r="AS68" s="259"/>
      <c r="AT68" s="259"/>
      <c r="AU68" s="259"/>
      <c r="AV68" s="259"/>
      <c r="AW68" s="259"/>
      <c r="AX68" s="259"/>
      <c r="AY68" s="259"/>
      <c r="AZ68" s="259"/>
      <c r="BA68" s="259"/>
      <c r="BB68" s="259"/>
      <c r="BC68" s="259"/>
      <c r="BD68" s="259"/>
      <c r="BE68" s="259"/>
      <c r="BF68" s="259"/>
      <c r="BG68" s="259"/>
      <c r="BH68" s="259"/>
      <c r="BI68" s="259"/>
      <c r="BJ68" s="259"/>
      <c r="BK68" s="259"/>
      <c r="BL68" s="259"/>
      <c r="BM68" s="259"/>
      <c r="BN68" s="259"/>
      <c r="BO68" s="259"/>
      <c r="BP68" s="259"/>
      <c r="BQ68" s="259"/>
      <c r="BR68" s="259"/>
      <c r="BS68" s="259"/>
      <c r="BT68" s="259"/>
      <c r="BU68" s="259"/>
      <c r="BV68" s="259"/>
      <c r="BW68" s="259"/>
      <c r="BX68" s="259"/>
      <c r="BY68" s="286">
        <f t="shared" si="32"/>
        <v>0</v>
      </c>
      <c r="BZ68" s="564"/>
      <c r="CA68" s="229"/>
      <c r="CB68" s="229"/>
      <c r="CC68" s="229"/>
      <c r="CD68" s="256" t="e">
        <f t="shared" ca="1" si="33"/>
        <v>#REF!</v>
      </c>
      <c r="CE68" s="564"/>
    </row>
    <row r="69" spans="2:83" ht="15.95" hidden="1" outlineLevel="1">
      <c r="B69" s="569"/>
      <c r="C69" s="288" t="s">
        <v>243</v>
      </c>
      <c r="D69" s="261" t="s">
        <v>191</v>
      </c>
      <c r="E69" s="289"/>
      <c r="F69" s="289"/>
      <c r="G69" s="289"/>
      <c r="H69" s="289"/>
      <c r="I69" s="289"/>
      <c r="J69" s="289"/>
      <c r="K69" s="289"/>
      <c r="L69" s="289"/>
      <c r="M69" s="289"/>
      <c r="N69" s="289"/>
      <c r="O69" s="289"/>
      <c r="P69" s="289"/>
      <c r="Q69" s="289"/>
      <c r="R69" s="289"/>
      <c r="S69" s="289"/>
      <c r="T69" s="289"/>
      <c r="U69" s="289"/>
      <c r="V69" s="289"/>
      <c r="W69" s="289"/>
      <c r="X69" s="289"/>
      <c r="Y69" s="289"/>
      <c r="Z69" s="289"/>
      <c r="AA69" s="289"/>
      <c r="AB69" s="289"/>
      <c r="AC69" s="289"/>
      <c r="AD69" s="289"/>
      <c r="AE69" s="289"/>
      <c r="AF69" s="289"/>
      <c r="AG69" s="289"/>
      <c r="AH69" s="289"/>
      <c r="AI69" s="289">
        <f>Businessplan_prodej!N24</f>
        <v>-1130984.1428571427</v>
      </c>
      <c r="AJ69" s="289"/>
      <c r="AK69" s="289"/>
      <c r="AL69" s="289"/>
      <c r="AM69" s="289"/>
      <c r="AN69" s="289"/>
      <c r="AO69" s="289"/>
      <c r="AP69" s="289"/>
      <c r="AQ69" s="289"/>
      <c r="AR69" s="289"/>
      <c r="AS69" s="289"/>
      <c r="AT69" s="289"/>
      <c r="AU69" s="289"/>
      <c r="AV69" s="289"/>
      <c r="AW69" s="289"/>
      <c r="AX69" s="289"/>
      <c r="AY69" s="289"/>
      <c r="AZ69" s="289"/>
      <c r="BA69" s="289"/>
      <c r="BB69" s="289"/>
      <c r="BC69" s="289"/>
      <c r="BD69" s="289"/>
      <c r="BE69" s="289"/>
      <c r="BF69" s="289"/>
      <c r="BG69" s="289"/>
      <c r="BH69" s="289"/>
      <c r="BI69" s="289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6">
        <f t="shared" si="32"/>
        <v>-1130984.1428571427</v>
      </c>
      <c r="BZ69" s="564"/>
      <c r="CA69" s="229"/>
      <c r="CB69" s="229"/>
      <c r="CC69" s="229"/>
      <c r="CD69" s="256" t="e">
        <f t="array" aca="1" ref="CD69" ca="1">SUM(INDEX(AC69:BX69, , 1):INDEX(AC69:BX69, ,MATCH(CD43, E41:BX41,0) ))</f>
        <v>#REF!</v>
      </c>
      <c r="CE69" s="564"/>
    </row>
    <row r="70" spans="2:83" ht="15.95" collapsed="1">
      <c r="B70" s="569"/>
      <c r="C70" s="252" t="s">
        <v>244</v>
      </c>
      <c r="D70" s="253"/>
      <c r="E70" s="254">
        <f t="shared" ref="E70:BY70" si="34">SUM(E71:E72)</f>
        <v>0</v>
      </c>
      <c r="F70" s="254">
        <f t="shared" si="34"/>
        <v>0</v>
      </c>
      <c r="G70" s="254">
        <f t="shared" si="34"/>
        <v>0</v>
      </c>
      <c r="H70" s="254">
        <f t="shared" si="34"/>
        <v>0</v>
      </c>
      <c r="I70" s="254">
        <f t="shared" si="34"/>
        <v>0</v>
      </c>
      <c r="J70" s="254">
        <f t="shared" si="34"/>
        <v>0</v>
      </c>
      <c r="K70" s="254">
        <f t="shared" si="34"/>
        <v>0</v>
      </c>
      <c r="L70" s="254">
        <f t="shared" si="34"/>
        <v>0</v>
      </c>
      <c r="M70" s="254">
        <f t="shared" si="34"/>
        <v>0</v>
      </c>
      <c r="N70" s="254">
        <f t="shared" si="34"/>
        <v>0</v>
      </c>
      <c r="O70" s="254">
        <f t="shared" si="34"/>
        <v>0</v>
      </c>
      <c r="P70" s="254">
        <f t="shared" si="34"/>
        <v>0</v>
      </c>
      <c r="Q70" s="254">
        <f t="shared" si="34"/>
        <v>0</v>
      </c>
      <c r="R70" s="254">
        <f t="shared" si="34"/>
        <v>0</v>
      </c>
      <c r="S70" s="254">
        <f t="shared" si="34"/>
        <v>0</v>
      </c>
      <c r="T70" s="254">
        <f t="shared" si="34"/>
        <v>0</v>
      </c>
      <c r="U70" s="254">
        <f t="shared" si="34"/>
        <v>0</v>
      </c>
      <c r="V70" s="254">
        <f t="shared" si="34"/>
        <v>0</v>
      </c>
      <c r="W70" s="254">
        <f t="shared" si="34"/>
        <v>0</v>
      </c>
      <c r="X70" s="254">
        <f t="shared" si="34"/>
        <v>0</v>
      </c>
      <c r="Y70" s="254">
        <f t="shared" si="34"/>
        <v>0</v>
      </c>
      <c r="Z70" s="254">
        <f t="shared" si="34"/>
        <v>0</v>
      </c>
      <c r="AA70" s="254">
        <f t="shared" si="34"/>
        <v>0</v>
      </c>
      <c r="AB70" s="254">
        <f t="shared" si="34"/>
        <v>0</v>
      </c>
      <c r="AC70" s="254">
        <f t="shared" si="34"/>
        <v>0</v>
      </c>
      <c r="AD70" s="254">
        <f t="shared" si="34"/>
        <v>0</v>
      </c>
      <c r="AE70" s="254">
        <f t="shared" si="34"/>
        <v>0</v>
      </c>
      <c r="AF70" s="254">
        <f t="shared" si="34"/>
        <v>0</v>
      </c>
      <c r="AG70" s="254">
        <f t="shared" si="34"/>
        <v>0</v>
      </c>
      <c r="AH70" s="254">
        <f t="shared" si="34"/>
        <v>0</v>
      </c>
      <c r="AI70" s="254">
        <f t="shared" si="34"/>
        <v>0</v>
      </c>
      <c r="AJ70" s="254">
        <f t="shared" si="34"/>
        <v>0</v>
      </c>
      <c r="AK70" s="254">
        <f t="shared" si="34"/>
        <v>0</v>
      </c>
      <c r="AL70" s="254">
        <f t="shared" si="34"/>
        <v>0</v>
      </c>
      <c r="AM70" s="254">
        <f t="shared" si="34"/>
        <v>0</v>
      </c>
      <c r="AN70" s="254">
        <f t="shared" si="34"/>
        <v>0</v>
      </c>
      <c r="AO70" s="254">
        <f t="shared" si="34"/>
        <v>0</v>
      </c>
      <c r="AP70" s="254">
        <f t="shared" si="34"/>
        <v>0</v>
      </c>
      <c r="AQ70" s="254">
        <f t="shared" si="34"/>
        <v>0</v>
      </c>
      <c r="AR70" s="254">
        <f t="shared" si="34"/>
        <v>0</v>
      </c>
      <c r="AS70" s="254">
        <f t="shared" si="34"/>
        <v>0</v>
      </c>
      <c r="AT70" s="254">
        <f t="shared" si="34"/>
        <v>0</v>
      </c>
      <c r="AU70" s="254">
        <f t="shared" si="34"/>
        <v>0</v>
      </c>
      <c r="AV70" s="254">
        <f t="shared" si="34"/>
        <v>0</v>
      </c>
      <c r="AW70" s="254">
        <f t="shared" si="34"/>
        <v>0</v>
      </c>
      <c r="AX70" s="254">
        <f t="shared" si="34"/>
        <v>0</v>
      </c>
      <c r="AY70" s="254">
        <f t="shared" si="34"/>
        <v>0</v>
      </c>
      <c r="AZ70" s="254">
        <f t="shared" si="34"/>
        <v>0</v>
      </c>
      <c r="BA70" s="254">
        <f t="shared" si="34"/>
        <v>0</v>
      </c>
      <c r="BB70" s="254">
        <f t="shared" si="34"/>
        <v>0</v>
      </c>
      <c r="BC70" s="254">
        <f t="shared" si="34"/>
        <v>0</v>
      </c>
      <c r="BD70" s="254">
        <f t="shared" si="34"/>
        <v>0</v>
      </c>
      <c r="BE70" s="254">
        <f t="shared" si="34"/>
        <v>0</v>
      </c>
      <c r="BF70" s="254">
        <f t="shared" si="34"/>
        <v>0</v>
      </c>
      <c r="BG70" s="254">
        <f t="shared" si="34"/>
        <v>0</v>
      </c>
      <c r="BH70" s="254">
        <f t="shared" si="34"/>
        <v>0</v>
      </c>
      <c r="BI70" s="254">
        <f t="shared" si="34"/>
        <v>0</v>
      </c>
      <c r="BJ70" s="254">
        <f t="shared" si="34"/>
        <v>0</v>
      </c>
      <c r="BK70" s="254">
        <f t="shared" si="34"/>
        <v>0</v>
      </c>
      <c r="BL70" s="254">
        <f t="shared" si="34"/>
        <v>0</v>
      </c>
      <c r="BM70" s="254">
        <f t="shared" si="34"/>
        <v>0</v>
      </c>
      <c r="BN70" s="254">
        <f t="shared" si="34"/>
        <v>0</v>
      </c>
      <c r="BO70" s="254">
        <f t="shared" si="34"/>
        <v>0</v>
      </c>
      <c r="BP70" s="254">
        <f t="shared" si="34"/>
        <v>0</v>
      </c>
      <c r="BQ70" s="254">
        <f t="shared" si="34"/>
        <v>0</v>
      </c>
      <c r="BR70" s="254">
        <f t="shared" si="34"/>
        <v>0</v>
      </c>
      <c r="BS70" s="254">
        <f t="shared" si="34"/>
        <v>0</v>
      </c>
      <c r="BT70" s="254">
        <f t="shared" si="34"/>
        <v>0</v>
      </c>
      <c r="BU70" s="254">
        <f t="shared" si="34"/>
        <v>0</v>
      </c>
      <c r="BV70" s="254">
        <f t="shared" si="34"/>
        <v>0</v>
      </c>
      <c r="BW70" s="254">
        <f t="shared" si="34"/>
        <v>0</v>
      </c>
      <c r="BX70" s="254">
        <f t="shared" si="34"/>
        <v>0</v>
      </c>
      <c r="BY70" s="255">
        <f t="shared" si="34"/>
        <v>0</v>
      </c>
      <c r="BZ70" s="564"/>
      <c r="CA70" s="229"/>
      <c r="CB70" s="229"/>
      <c r="CC70" s="229"/>
      <c r="CD70" s="256" t="e">
        <f t="array" aca="1" ref="CD70" ca="1">SUM(INDEX(E70:BX70, , 1):INDEX(E70:BX70, ,MATCH($CD$4, $E$3:$BX$3,0) ))</f>
        <v>#N/A</v>
      </c>
      <c r="CE70" s="564"/>
    </row>
    <row r="71" spans="2:83" ht="15.95" hidden="1" outlineLevel="1">
      <c r="B71" s="569"/>
      <c r="C71" s="290" t="s">
        <v>245</v>
      </c>
      <c r="D71" s="258" t="s">
        <v>191</v>
      </c>
      <c r="E71" s="291"/>
      <c r="F71" s="291"/>
      <c r="G71" s="291"/>
      <c r="H71" s="291"/>
      <c r="I71" s="291"/>
      <c r="J71" s="291"/>
      <c r="K71" s="291"/>
      <c r="L71" s="291"/>
      <c r="M71" s="291"/>
      <c r="N71" s="291"/>
      <c r="O71" s="291"/>
      <c r="P71" s="291"/>
      <c r="Q71" s="291"/>
      <c r="R71" s="291"/>
      <c r="S71" s="291"/>
      <c r="T71" s="291"/>
      <c r="U71" s="291"/>
      <c r="V71" s="291"/>
      <c r="W71" s="291"/>
      <c r="X71" s="291"/>
      <c r="Y71" s="291"/>
      <c r="Z71" s="291"/>
      <c r="AA71" s="291"/>
      <c r="AB71" s="291"/>
      <c r="AC71" s="291"/>
      <c r="AD71" s="291"/>
      <c r="AE71" s="291"/>
      <c r="AF71" s="291"/>
      <c r="AG71" s="291"/>
      <c r="AH71" s="291"/>
      <c r="AI71" s="291"/>
      <c r="AJ71" s="291"/>
      <c r="AK71" s="291"/>
      <c r="AL71" s="291"/>
      <c r="AM71" s="291"/>
      <c r="AN71" s="291"/>
      <c r="AO71" s="291"/>
      <c r="AP71" s="291"/>
      <c r="AQ71" s="291"/>
      <c r="AR71" s="291"/>
      <c r="AS71" s="291"/>
      <c r="AT71" s="291"/>
      <c r="AU71" s="291"/>
      <c r="AV71" s="291"/>
      <c r="AW71" s="291"/>
      <c r="AX71" s="291"/>
      <c r="AY71" s="291"/>
      <c r="AZ71" s="291"/>
      <c r="BA71" s="291"/>
      <c r="BB71" s="291"/>
      <c r="BC71" s="291"/>
      <c r="BD71" s="291"/>
      <c r="BE71" s="291"/>
      <c r="BF71" s="291"/>
      <c r="BG71" s="291"/>
      <c r="BH71" s="291"/>
      <c r="BI71" s="291"/>
      <c r="BJ71" s="291"/>
      <c r="BK71" s="291"/>
      <c r="BL71" s="291"/>
      <c r="BM71" s="291"/>
      <c r="BN71" s="291"/>
      <c r="BO71" s="291"/>
      <c r="BP71" s="291"/>
      <c r="BQ71" s="291"/>
      <c r="BR71" s="291"/>
      <c r="BS71" s="291"/>
      <c r="BT71" s="291"/>
      <c r="BU71" s="291"/>
      <c r="BV71" s="291"/>
      <c r="BW71" s="291"/>
      <c r="BX71" s="291"/>
      <c r="BY71" s="292">
        <f t="shared" ref="BY71:BY72" si="35">SUM(E71:BX71)</f>
        <v>0</v>
      </c>
      <c r="BZ71" s="564"/>
      <c r="CA71" s="229"/>
      <c r="CB71" s="229"/>
      <c r="CC71" s="229"/>
      <c r="CD71" s="256" t="e">
        <f t="shared" ref="CD71:CD72" ca="1" si="36">SUM(INDEX(AC71:BX71, , 1):INDEX(AC71:BX71, ,MATCH($CD$4, $E$3:$BX$3,0) ))</f>
        <v>#N/A</v>
      </c>
      <c r="CE71" s="564"/>
    </row>
    <row r="72" spans="2:83" ht="15.95" hidden="1" outlineLevel="1">
      <c r="B72" s="569"/>
      <c r="C72" s="288" t="s">
        <v>246</v>
      </c>
      <c r="D72" s="261" t="s">
        <v>191</v>
      </c>
      <c r="E72" s="293"/>
      <c r="F72" s="282"/>
      <c r="G72" s="282"/>
      <c r="H72" s="282"/>
      <c r="I72" s="282"/>
      <c r="J72" s="282"/>
      <c r="K72" s="282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  <c r="X72" s="282"/>
      <c r="Y72" s="282"/>
      <c r="Z72" s="282"/>
      <c r="AA72" s="282"/>
      <c r="AB72" s="282"/>
      <c r="AC72" s="282"/>
      <c r="AD72" s="282"/>
      <c r="AE72" s="282"/>
      <c r="AF72" s="282"/>
      <c r="AG72" s="282"/>
      <c r="AH72" s="282"/>
      <c r="AI72" s="282"/>
      <c r="AJ72" s="282"/>
      <c r="AK72" s="282"/>
      <c r="AL72" s="282"/>
      <c r="AM72" s="282"/>
      <c r="AN72" s="282"/>
      <c r="AO72" s="282"/>
      <c r="AP72" s="282"/>
      <c r="AQ72" s="282"/>
      <c r="AR72" s="282"/>
      <c r="AS72" s="282"/>
      <c r="AT72" s="282"/>
      <c r="AU72" s="282"/>
      <c r="AV72" s="282"/>
      <c r="AW72" s="282"/>
      <c r="AX72" s="282"/>
      <c r="AY72" s="282"/>
      <c r="AZ72" s="282"/>
      <c r="BA72" s="282"/>
      <c r="BB72" s="282"/>
      <c r="BC72" s="282"/>
      <c r="BD72" s="282"/>
      <c r="BE72" s="282"/>
      <c r="BF72" s="282"/>
      <c r="BG72" s="282"/>
      <c r="BH72" s="282"/>
      <c r="BI72" s="282"/>
      <c r="BJ72" s="282"/>
      <c r="BK72" s="282"/>
      <c r="BL72" s="282"/>
      <c r="BM72" s="282"/>
      <c r="BN72" s="282"/>
      <c r="BO72" s="282"/>
      <c r="BP72" s="282"/>
      <c r="BQ72" s="282"/>
      <c r="BR72" s="282"/>
      <c r="BS72" s="282"/>
      <c r="BT72" s="282"/>
      <c r="BU72" s="282"/>
      <c r="BV72" s="282"/>
      <c r="BW72" s="282"/>
      <c r="BX72" s="282"/>
      <c r="BY72" s="294">
        <f t="shared" si="35"/>
        <v>0</v>
      </c>
      <c r="BZ72" s="563"/>
      <c r="CA72" s="229"/>
      <c r="CB72" s="229"/>
      <c r="CC72" s="229"/>
      <c r="CD72" s="256" t="e">
        <f t="shared" ca="1" si="36"/>
        <v>#N/A</v>
      </c>
      <c r="CE72" s="563"/>
    </row>
    <row r="73" spans="2:83">
      <c r="B73" s="569"/>
      <c r="C73" s="252" t="s">
        <v>247</v>
      </c>
      <c r="D73" s="253"/>
      <c r="E73" s="254">
        <f t="shared" ref="E73:BX73" si="37">SUM(E74:E80)</f>
        <v>0</v>
      </c>
      <c r="F73" s="254">
        <f t="shared" si="37"/>
        <v>0</v>
      </c>
      <c r="G73" s="254">
        <f t="shared" si="37"/>
        <v>0</v>
      </c>
      <c r="H73" s="254">
        <f t="shared" si="37"/>
        <v>0</v>
      </c>
      <c r="I73" s="254">
        <f t="shared" si="37"/>
        <v>0</v>
      </c>
      <c r="J73" s="254">
        <f t="shared" si="37"/>
        <v>0</v>
      </c>
      <c r="K73" s="254">
        <f t="shared" si="37"/>
        <v>0</v>
      </c>
      <c r="L73" s="254">
        <f t="shared" si="37"/>
        <v>0</v>
      </c>
      <c r="M73" s="254">
        <f t="shared" si="37"/>
        <v>0</v>
      </c>
      <c r="N73" s="254">
        <f t="shared" si="37"/>
        <v>0</v>
      </c>
      <c r="O73" s="254">
        <f t="shared" si="37"/>
        <v>0</v>
      </c>
      <c r="P73" s="254">
        <f t="shared" si="37"/>
        <v>0</v>
      </c>
      <c r="Q73" s="254">
        <f t="shared" si="37"/>
        <v>0</v>
      </c>
      <c r="R73" s="254">
        <f t="shared" si="37"/>
        <v>0</v>
      </c>
      <c r="S73" s="254">
        <f t="shared" si="37"/>
        <v>0</v>
      </c>
      <c r="T73" s="254">
        <f t="shared" si="37"/>
        <v>0</v>
      </c>
      <c r="U73" s="254">
        <f t="shared" si="37"/>
        <v>-20500000</v>
      </c>
      <c r="V73" s="254">
        <f t="shared" si="37"/>
        <v>0</v>
      </c>
      <c r="W73" s="254">
        <f t="shared" si="37"/>
        <v>0</v>
      </c>
      <c r="X73" s="254">
        <f t="shared" si="37"/>
        <v>0</v>
      </c>
      <c r="Y73" s="254">
        <f t="shared" si="37"/>
        <v>0</v>
      </c>
      <c r="Z73" s="254">
        <f t="shared" si="37"/>
        <v>0</v>
      </c>
      <c r="AA73" s="254">
        <f t="shared" si="37"/>
        <v>0</v>
      </c>
      <c r="AB73" s="254">
        <f t="shared" si="37"/>
        <v>0</v>
      </c>
      <c r="AC73" s="254">
        <f t="shared" si="37"/>
        <v>0</v>
      </c>
      <c r="AD73" s="254">
        <f t="shared" si="37"/>
        <v>0</v>
      </c>
      <c r="AE73" s="254">
        <f t="shared" si="37"/>
        <v>0</v>
      </c>
      <c r="AF73" s="254">
        <f t="shared" si="37"/>
        <v>0</v>
      </c>
      <c r="AG73" s="254">
        <f t="shared" si="37"/>
        <v>0</v>
      </c>
      <c r="AH73" s="254">
        <f t="shared" si="37"/>
        <v>0</v>
      </c>
      <c r="AI73" s="254">
        <f t="shared" si="37"/>
        <v>-88337577.962936133</v>
      </c>
      <c r="AJ73" s="254">
        <f t="shared" si="37"/>
        <v>0</v>
      </c>
      <c r="AK73" s="254">
        <f t="shared" si="37"/>
        <v>0</v>
      </c>
      <c r="AL73" s="254">
        <f t="shared" si="37"/>
        <v>0</v>
      </c>
      <c r="AM73" s="254">
        <f t="shared" si="37"/>
        <v>0</v>
      </c>
      <c r="AN73" s="254">
        <f t="shared" si="37"/>
        <v>0</v>
      </c>
      <c r="AO73" s="254">
        <f t="shared" si="37"/>
        <v>0</v>
      </c>
      <c r="AP73" s="254">
        <f t="shared" si="37"/>
        <v>0</v>
      </c>
      <c r="AQ73" s="254">
        <f t="shared" si="37"/>
        <v>0</v>
      </c>
      <c r="AR73" s="254">
        <f t="shared" si="37"/>
        <v>0</v>
      </c>
      <c r="AS73" s="254">
        <f t="shared" si="37"/>
        <v>0</v>
      </c>
      <c r="AT73" s="254">
        <f t="shared" si="37"/>
        <v>0</v>
      </c>
      <c r="AU73" s="254">
        <f t="shared" si="37"/>
        <v>0</v>
      </c>
      <c r="AV73" s="254">
        <f t="shared" si="37"/>
        <v>0</v>
      </c>
      <c r="AW73" s="254">
        <f t="shared" si="37"/>
        <v>0</v>
      </c>
      <c r="AX73" s="254">
        <f t="shared" si="37"/>
        <v>0</v>
      </c>
      <c r="AY73" s="254">
        <f t="shared" si="37"/>
        <v>0</v>
      </c>
      <c r="AZ73" s="254">
        <f t="shared" si="37"/>
        <v>0</v>
      </c>
      <c r="BA73" s="254">
        <f t="shared" si="37"/>
        <v>0</v>
      </c>
      <c r="BB73" s="254">
        <f t="shared" si="37"/>
        <v>0</v>
      </c>
      <c r="BC73" s="254">
        <f t="shared" si="37"/>
        <v>0</v>
      </c>
      <c r="BD73" s="254">
        <f t="shared" si="37"/>
        <v>0</v>
      </c>
      <c r="BE73" s="254">
        <f t="shared" si="37"/>
        <v>0</v>
      </c>
      <c r="BF73" s="254">
        <f t="shared" si="37"/>
        <v>0</v>
      </c>
      <c r="BG73" s="254">
        <f t="shared" si="37"/>
        <v>0</v>
      </c>
      <c r="BH73" s="254">
        <f t="shared" si="37"/>
        <v>0</v>
      </c>
      <c r="BI73" s="254">
        <f t="shared" si="37"/>
        <v>0</v>
      </c>
      <c r="BJ73" s="254">
        <f t="shared" si="37"/>
        <v>0</v>
      </c>
      <c r="BK73" s="254">
        <f t="shared" si="37"/>
        <v>0</v>
      </c>
      <c r="BL73" s="254">
        <f t="shared" si="37"/>
        <v>0</v>
      </c>
      <c r="BM73" s="254">
        <f t="shared" si="37"/>
        <v>0</v>
      </c>
      <c r="BN73" s="254">
        <f t="shared" si="37"/>
        <v>0</v>
      </c>
      <c r="BO73" s="254">
        <f t="shared" si="37"/>
        <v>0</v>
      </c>
      <c r="BP73" s="254">
        <f t="shared" si="37"/>
        <v>0</v>
      </c>
      <c r="BQ73" s="254">
        <f t="shared" si="37"/>
        <v>0</v>
      </c>
      <c r="BR73" s="254">
        <f t="shared" si="37"/>
        <v>0</v>
      </c>
      <c r="BS73" s="254">
        <f t="shared" si="37"/>
        <v>0</v>
      </c>
      <c r="BT73" s="254">
        <f t="shared" si="37"/>
        <v>0</v>
      </c>
      <c r="BU73" s="254">
        <f t="shared" si="37"/>
        <v>0</v>
      </c>
      <c r="BV73" s="254">
        <f t="shared" si="37"/>
        <v>0</v>
      </c>
      <c r="BW73" s="254">
        <f t="shared" si="37"/>
        <v>0</v>
      </c>
      <c r="BX73" s="254">
        <f t="shared" si="37"/>
        <v>0</v>
      </c>
      <c r="BY73" s="536">
        <f>SUM(BZ18:BZ61)</f>
        <v>-110512945.90483446</v>
      </c>
      <c r="BZ73" s="568"/>
      <c r="CA73" s="229"/>
      <c r="CB73" s="229"/>
      <c r="CC73" s="229"/>
      <c r="CD73" s="229"/>
      <c r="CE73" s="229"/>
    </row>
    <row r="74" spans="2:83" outlineLevel="1">
      <c r="B74" s="569"/>
      <c r="C74" s="257" t="s">
        <v>248</v>
      </c>
      <c r="D74" s="258" t="s">
        <v>191</v>
      </c>
      <c r="E74" s="259"/>
      <c r="F74" s="259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/>
      <c r="R74" s="259"/>
      <c r="S74" s="259"/>
      <c r="T74" s="259"/>
      <c r="U74" s="259">
        <f>-10250000</f>
        <v>-10250000</v>
      </c>
      <c r="V74" s="259"/>
      <c r="W74" s="259"/>
      <c r="X74" s="259"/>
      <c r="Y74" s="259"/>
      <c r="Z74" s="259"/>
      <c r="AA74" s="259"/>
      <c r="AB74" s="259"/>
      <c r="AC74" s="259"/>
      <c r="AD74" s="259"/>
      <c r="AE74" s="259"/>
      <c r="AF74" s="259"/>
      <c r="AG74" s="259"/>
      <c r="AH74" s="259"/>
      <c r="AI74" s="259">
        <f>-BY5-SUM(E74:AH74)</f>
        <v>-16022824</v>
      </c>
      <c r="AJ74" s="259"/>
      <c r="AK74" s="259"/>
      <c r="AL74" s="259"/>
      <c r="AM74" s="259"/>
      <c r="AN74" s="259"/>
      <c r="AO74" s="259"/>
      <c r="AP74" s="259"/>
      <c r="AQ74" s="259"/>
      <c r="AR74" s="259"/>
      <c r="AS74" s="259"/>
      <c r="AT74" s="259"/>
      <c r="AU74" s="259"/>
      <c r="AV74" s="259"/>
      <c r="AW74" s="259"/>
      <c r="AX74" s="259"/>
      <c r="AY74" s="259"/>
      <c r="AZ74" s="259"/>
      <c r="BA74" s="259"/>
      <c r="BB74" s="259"/>
      <c r="BC74" s="285"/>
      <c r="BD74" s="259"/>
      <c r="BE74" s="259"/>
      <c r="BF74" s="259"/>
      <c r="BG74" s="259"/>
      <c r="BH74" s="259"/>
      <c r="BI74" s="259"/>
      <c r="BJ74" s="259"/>
      <c r="BK74" s="259"/>
      <c r="BL74" s="259"/>
      <c r="BM74" s="259"/>
      <c r="BN74" s="259"/>
      <c r="BO74" s="259"/>
      <c r="BP74" s="259"/>
      <c r="BQ74" s="259"/>
      <c r="BR74" s="259"/>
      <c r="BS74" s="259"/>
      <c r="BT74" s="259"/>
      <c r="BU74" s="259"/>
      <c r="BV74" s="259"/>
      <c r="BW74" s="259"/>
      <c r="BX74" s="265"/>
      <c r="BY74" s="292">
        <f t="shared" ref="BY74:BY80" si="38">SUM(E74:BX74)</f>
        <v>-26272824</v>
      </c>
      <c r="BZ74" s="537">
        <f>SUM(BY74:BY80)</f>
        <v>-108837577.96293613</v>
      </c>
      <c r="CA74" s="229"/>
      <c r="CB74" s="229"/>
      <c r="CC74" s="229"/>
      <c r="CD74" s="229"/>
      <c r="CE74" s="229"/>
    </row>
    <row r="75" spans="2:83" outlineLevel="1">
      <c r="B75" s="569"/>
      <c r="C75" s="257" t="s">
        <v>249</v>
      </c>
      <c r="D75" s="258" t="s">
        <v>191</v>
      </c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>
        <f>U74</f>
        <v>-10250000</v>
      </c>
      <c r="V75" s="259"/>
      <c r="W75" s="259"/>
      <c r="X75" s="259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>
        <f>-BY6-SUM(E75:AH75)</f>
        <v>-16022824</v>
      </c>
      <c r="AJ75" s="259"/>
      <c r="AK75" s="259"/>
      <c r="AL75" s="259"/>
      <c r="AM75" s="259"/>
      <c r="AN75" s="259"/>
      <c r="AO75" s="259"/>
      <c r="AP75" s="259"/>
      <c r="AQ75" s="259"/>
      <c r="AR75" s="259"/>
      <c r="AS75" s="259"/>
      <c r="AT75" s="259"/>
      <c r="AU75" s="259"/>
      <c r="AV75" s="259"/>
      <c r="AW75" s="259"/>
      <c r="AX75" s="259"/>
      <c r="AY75" s="259"/>
      <c r="AZ75" s="259"/>
      <c r="BA75" s="259"/>
      <c r="BB75" s="259"/>
      <c r="BC75" s="259"/>
      <c r="BD75" s="259"/>
      <c r="BE75" s="259"/>
      <c r="BF75" s="259"/>
      <c r="BG75" s="259"/>
      <c r="BH75" s="259"/>
      <c r="BI75" s="259"/>
      <c r="BJ75" s="259"/>
      <c r="BK75" s="259"/>
      <c r="BL75" s="259"/>
      <c r="BM75" s="259"/>
      <c r="BN75" s="259"/>
      <c r="BO75" s="259"/>
      <c r="BP75" s="259"/>
      <c r="BQ75" s="259"/>
      <c r="BR75" s="259"/>
      <c r="BS75" s="259"/>
      <c r="BT75" s="259"/>
      <c r="BU75" s="259"/>
      <c r="BV75" s="259"/>
      <c r="BW75" s="259"/>
      <c r="BX75" s="265"/>
      <c r="BY75" s="286">
        <f t="shared" si="38"/>
        <v>-26272824</v>
      </c>
      <c r="BZ75" s="564"/>
      <c r="CA75" s="229"/>
      <c r="CB75" s="229"/>
      <c r="CC75" s="229"/>
      <c r="CD75" s="229"/>
      <c r="CE75" s="229"/>
    </row>
    <row r="76" spans="2:83" outlineLevel="1">
      <c r="B76" s="569"/>
      <c r="C76" s="257" t="s">
        <v>250</v>
      </c>
      <c r="D76" s="258" t="s">
        <v>191</v>
      </c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259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/>
      <c r="AK76" s="259"/>
      <c r="AL76" s="259"/>
      <c r="AM76" s="259"/>
      <c r="AN76" s="259"/>
      <c r="AO76" s="259"/>
      <c r="AP76" s="259"/>
      <c r="AQ76" s="259"/>
      <c r="AR76" s="259"/>
      <c r="AS76" s="259"/>
      <c r="AT76" s="259"/>
      <c r="AU76" s="259"/>
      <c r="AV76" s="259"/>
      <c r="AW76" s="259"/>
      <c r="AX76" s="259"/>
      <c r="AY76" s="259"/>
      <c r="AZ76" s="259"/>
      <c r="BA76" s="259"/>
      <c r="BB76" s="259"/>
      <c r="BC76" s="259"/>
      <c r="BD76" s="259"/>
      <c r="BE76" s="259"/>
      <c r="BF76" s="259"/>
      <c r="BG76" s="259"/>
      <c r="BH76" s="259"/>
      <c r="BI76" s="259"/>
      <c r="BJ76" s="259"/>
      <c r="BK76" s="259"/>
      <c r="BL76" s="259"/>
      <c r="BM76" s="259"/>
      <c r="BN76" s="259"/>
      <c r="BO76" s="259"/>
      <c r="BP76" s="259"/>
      <c r="BQ76" s="259"/>
      <c r="BR76" s="259"/>
      <c r="BS76" s="259"/>
      <c r="BT76" s="259"/>
      <c r="BU76" s="259"/>
      <c r="BV76" s="259"/>
      <c r="BW76" s="259"/>
      <c r="BX76" s="265"/>
      <c r="BY76" s="286">
        <f t="shared" si="38"/>
        <v>0</v>
      </c>
      <c r="BZ76" s="564"/>
      <c r="CA76" s="229"/>
      <c r="CB76" s="229"/>
      <c r="CC76" s="229"/>
      <c r="CD76" s="229"/>
      <c r="CE76" s="229"/>
    </row>
    <row r="77" spans="2:83" outlineLevel="1">
      <c r="B77" s="569"/>
      <c r="C77" s="257" t="s">
        <v>251</v>
      </c>
      <c r="D77" s="258" t="s">
        <v>191</v>
      </c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59"/>
      <c r="AO77" s="259"/>
      <c r="AP77" s="259"/>
      <c r="AQ77" s="259"/>
      <c r="AR77" s="259"/>
      <c r="AS77" s="259"/>
      <c r="AT77" s="259"/>
      <c r="AU77" s="259"/>
      <c r="AV77" s="259"/>
      <c r="AW77" s="259"/>
      <c r="AX77" s="259"/>
      <c r="AY77" s="259"/>
      <c r="AZ77" s="259"/>
      <c r="BA77" s="259"/>
      <c r="BB77" s="259"/>
      <c r="BC77" s="259"/>
      <c r="BD77" s="259"/>
      <c r="BE77" s="259"/>
      <c r="BF77" s="259"/>
      <c r="BG77" s="259"/>
      <c r="BH77" s="259"/>
      <c r="BI77" s="259"/>
      <c r="BJ77" s="259"/>
      <c r="BK77" s="259"/>
      <c r="BL77" s="259"/>
      <c r="BM77" s="259"/>
      <c r="BN77" s="259"/>
      <c r="BO77" s="259"/>
      <c r="BP77" s="259"/>
      <c r="BQ77" s="259"/>
      <c r="BR77" s="259"/>
      <c r="BS77" s="259"/>
      <c r="BT77" s="259"/>
      <c r="BU77" s="259"/>
      <c r="BV77" s="259"/>
      <c r="BW77" s="259"/>
      <c r="BX77" s="265"/>
      <c r="BY77" s="286">
        <f t="shared" si="38"/>
        <v>0</v>
      </c>
      <c r="BZ77" s="564"/>
      <c r="CA77" s="229"/>
      <c r="CB77" s="229"/>
      <c r="CC77" s="229"/>
      <c r="CD77" s="229"/>
      <c r="CE77" s="229"/>
    </row>
    <row r="78" spans="2:83" outlineLevel="1">
      <c r="B78" s="569"/>
      <c r="C78" s="257" t="s">
        <v>252</v>
      </c>
      <c r="D78" s="258" t="s">
        <v>191</v>
      </c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/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59"/>
      <c r="AO78" s="259"/>
      <c r="AP78" s="259"/>
      <c r="AQ78" s="259"/>
      <c r="AR78" s="259"/>
      <c r="AS78" s="259"/>
      <c r="AT78" s="259"/>
      <c r="AU78" s="259"/>
      <c r="AV78" s="259"/>
      <c r="AW78" s="259"/>
      <c r="AX78" s="259"/>
      <c r="AY78" s="259"/>
      <c r="AZ78" s="259"/>
      <c r="BA78" s="259"/>
      <c r="BB78" s="259"/>
      <c r="BC78" s="285"/>
      <c r="BD78" s="259"/>
      <c r="BE78" s="259"/>
      <c r="BF78" s="259"/>
      <c r="BG78" s="259"/>
      <c r="BH78" s="259"/>
      <c r="BI78" s="259"/>
      <c r="BJ78" s="259"/>
      <c r="BK78" s="259"/>
      <c r="BL78" s="259"/>
      <c r="BM78" s="259"/>
      <c r="BN78" s="259"/>
      <c r="BO78" s="259"/>
      <c r="BP78" s="259"/>
      <c r="BQ78" s="259"/>
      <c r="BR78" s="259"/>
      <c r="BS78" s="259"/>
      <c r="BT78" s="259"/>
      <c r="BU78" s="259"/>
      <c r="BV78" s="259"/>
      <c r="BW78" s="259"/>
      <c r="BX78" s="265"/>
      <c r="BY78" s="286">
        <f t="shared" si="38"/>
        <v>0</v>
      </c>
      <c r="BZ78" s="564"/>
      <c r="CA78" s="229"/>
      <c r="CB78" s="229"/>
      <c r="CC78" s="229"/>
      <c r="CD78" s="229"/>
      <c r="CE78" s="229"/>
    </row>
    <row r="79" spans="2:83" outlineLevel="1">
      <c r="B79" s="569"/>
      <c r="C79" s="257" t="s">
        <v>253</v>
      </c>
      <c r="D79" s="258" t="s">
        <v>191</v>
      </c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59"/>
      <c r="AP79" s="259"/>
      <c r="AQ79" s="259"/>
      <c r="AR79" s="259"/>
      <c r="AS79" s="259"/>
      <c r="AT79" s="259"/>
      <c r="AU79" s="259"/>
      <c r="AV79" s="259"/>
      <c r="AW79" s="259"/>
      <c r="AX79" s="259"/>
      <c r="AY79" s="259"/>
      <c r="AZ79" s="259"/>
      <c r="BA79" s="259"/>
      <c r="BB79" s="259"/>
      <c r="BC79" s="285"/>
      <c r="BD79" s="259"/>
      <c r="BE79" s="259"/>
      <c r="BF79" s="259"/>
      <c r="BG79" s="259"/>
      <c r="BH79" s="259"/>
      <c r="BI79" s="259"/>
      <c r="BJ79" s="259"/>
      <c r="BK79" s="259"/>
      <c r="BL79" s="259"/>
      <c r="BM79" s="259"/>
      <c r="BN79" s="259"/>
      <c r="BO79" s="259"/>
      <c r="BP79" s="259"/>
      <c r="BQ79" s="259"/>
      <c r="BR79" s="259"/>
      <c r="BS79" s="259"/>
      <c r="BT79" s="259"/>
      <c r="BU79" s="259"/>
      <c r="BV79" s="259"/>
      <c r="BW79" s="259"/>
      <c r="BX79" s="265"/>
      <c r="BY79" s="295">
        <f t="shared" si="38"/>
        <v>0</v>
      </c>
      <c r="BZ79" s="564"/>
      <c r="CA79" s="229"/>
      <c r="CB79" s="229"/>
      <c r="CC79" s="229"/>
      <c r="CD79" s="229"/>
      <c r="CE79" s="229"/>
    </row>
    <row r="80" spans="2:83" outlineLevel="1">
      <c r="B80" s="570"/>
      <c r="C80" s="279" t="s">
        <v>254</v>
      </c>
      <c r="D80" s="296" t="s">
        <v>191</v>
      </c>
      <c r="E80" s="281"/>
      <c r="F80" s="281"/>
      <c r="G80" s="281"/>
      <c r="H80" s="281"/>
      <c r="I80" s="281"/>
      <c r="J80" s="281"/>
      <c r="K80" s="281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>
        <f>-BY11-SUM(E61:AH61)</f>
        <v>-56291929.962936126</v>
      </c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2"/>
      <c r="BY80" s="269">
        <f t="shared" si="38"/>
        <v>-56291929.962936126</v>
      </c>
      <c r="BZ80" s="571"/>
      <c r="CA80" s="229"/>
      <c r="CB80" s="229"/>
      <c r="CC80" s="229"/>
      <c r="CD80" s="229"/>
      <c r="CE80" s="229"/>
    </row>
    <row r="81" spans="2:79" ht="15.95">
      <c r="B81" s="540" t="s">
        <v>255</v>
      </c>
      <c r="C81" s="563"/>
      <c r="D81" s="297" t="s">
        <v>191</v>
      </c>
      <c r="E81" s="298">
        <f t="shared" ref="E81:BX81" si="39">(E18+E24+E27+E35+E38+E48+E54+E62+E70+E73)</f>
        <v>0</v>
      </c>
      <c r="F81" s="298">
        <f t="shared" si="39"/>
        <v>0</v>
      </c>
      <c r="G81" s="298">
        <f t="shared" si="39"/>
        <v>0</v>
      </c>
      <c r="H81" s="298">
        <f t="shared" si="39"/>
        <v>0</v>
      </c>
      <c r="I81" s="298">
        <f t="shared" si="39"/>
        <v>-87324</v>
      </c>
      <c r="J81" s="298">
        <f t="shared" si="39"/>
        <v>-100000</v>
      </c>
      <c r="K81" s="298">
        <f t="shared" si="39"/>
        <v>-600</v>
      </c>
      <c r="L81" s="298">
        <f t="shared" si="39"/>
        <v>-5024121.0999999996</v>
      </c>
      <c r="M81" s="298">
        <f t="shared" si="39"/>
        <v>-607.44000000000005</v>
      </c>
      <c r="N81" s="298">
        <f t="shared" si="39"/>
        <v>-12221</v>
      </c>
      <c r="O81" s="298">
        <f t="shared" si="39"/>
        <v>-983942.061545062</v>
      </c>
      <c r="P81" s="298">
        <f t="shared" si="39"/>
        <v>-488809.56841502065</v>
      </c>
      <c r="Q81" s="298">
        <f t="shared" si="39"/>
        <v>-579889.56841502071</v>
      </c>
      <c r="R81" s="298">
        <f t="shared" si="39"/>
        <v>-754119.56841502071</v>
      </c>
      <c r="S81" s="298">
        <f t="shared" si="39"/>
        <v>-488809.56841502065</v>
      </c>
      <c r="T81" s="298">
        <f t="shared" si="39"/>
        <v>-94809.568415020651</v>
      </c>
      <c r="U81" s="298">
        <f t="shared" si="39"/>
        <v>-41594809.568415016</v>
      </c>
      <c r="V81" s="298">
        <f t="shared" si="39"/>
        <v>-1160877.8184150208</v>
      </c>
      <c r="W81" s="298">
        <f t="shared" si="39"/>
        <v>-94809.568415020651</v>
      </c>
      <c r="X81" s="298">
        <f t="shared" si="39"/>
        <v>-94809.568415020651</v>
      </c>
      <c r="Y81" s="298">
        <f t="shared" si="39"/>
        <v>-228678.60518775816</v>
      </c>
      <c r="Z81" s="298">
        <f t="shared" si="39"/>
        <v>-6913992.2661927985</v>
      </c>
      <c r="AA81" s="298">
        <f t="shared" si="39"/>
        <v>-6913992.2661927985</v>
      </c>
      <c r="AB81" s="298">
        <f t="shared" si="39"/>
        <v>-6913992.2661927985</v>
      </c>
      <c r="AC81" s="298">
        <f t="shared" si="39"/>
        <v>-6960001.2760620415</v>
      </c>
      <c r="AD81" s="298">
        <f t="shared" si="39"/>
        <v>-8920186.9525979515</v>
      </c>
      <c r="AE81" s="298">
        <f t="shared" si="39"/>
        <v>-9693282.0674671941</v>
      </c>
      <c r="AF81" s="298">
        <f t="shared" si="39"/>
        <v>-9042289.494003104</v>
      </c>
      <c r="AG81" s="298">
        <f t="shared" si="39"/>
        <v>-9256308.1761927977</v>
      </c>
      <c r="AH81" s="298">
        <f t="shared" si="39"/>
        <v>-9301093.2661927976</v>
      </c>
      <c r="AI81" s="298">
        <f t="shared" si="39"/>
        <v>-93646147.264208302</v>
      </c>
      <c r="AJ81" s="298">
        <f t="shared" si="39"/>
        <v>0</v>
      </c>
      <c r="AK81" s="298">
        <f t="shared" si="39"/>
        <v>0</v>
      </c>
      <c r="AL81" s="298">
        <f t="shared" si="39"/>
        <v>0</v>
      </c>
      <c r="AM81" s="298">
        <f t="shared" si="39"/>
        <v>0</v>
      </c>
      <c r="AN81" s="298">
        <f t="shared" si="39"/>
        <v>0</v>
      </c>
      <c r="AO81" s="298">
        <f t="shared" si="39"/>
        <v>0</v>
      </c>
      <c r="AP81" s="298">
        <f t="shared" si="39"/>
        <v>0</v>
      </c>
      <c r="AQ81" s="298">
        <f t="shared" si="39"/>
        <v>0</v>
      </c>
      <c r="AR81" s="298">
        <f t="shared" si="39"/>
        <v>0</v>
      </c>
      <c r="AS81" s="298">
        <f t="shared" si="39"/>
        <v>0</v>
      </c>
      <c r="AT81" s="298">
        <f t="shared" si="39"/>
        <v>0</v>
      </c>
      <c r="AU81" s="298">
        <f t="shared" si="39"/>
        <v>0</v>
      </c>
      <c r="AV81" s="298">
        <f t="shared" si="39"/>
        <v>0</v>
      </c>
      <c r="AW81" s="298">
        <f t="shared" si="39"/>
        <v>0</v>
      </c>
      <c r="AX81" s="298">
        <f t="shared" si="39"/>
        <v>0</v>
      </c>
      <c r="AY81" s="298">
        <f t="shared" si="39"/>
        <v>0</v>
      </c>
      <c r="AZ81" s="298">
        <f t="shared" si="39"/>
        <v>0</v>
      </c>
      <c r="BA81" s="298">
        <f t="shared" si="39"/>
        <v>0</v>
      </c>
      <c r="BB81" s="298">
        <f t="shared" si="39"/>
        <v>0</v>
      </c>
      <c r="BC81" s="298">
        <f t="shared" si="39"/>
        <v>0</v>
      </c>
      <c r="BD81" s="298">
        <f t="shared" si="39"/>
        <v>0</v>
      </c>
      <c r="BE81" s="298">
        <f t="shared" si="39"/>
        <v>0</v>
      </c>
      <c r="BF81" s="298">
        <f t="shared" si="39"/>
        <v>0</v>
      </c>
      <c r="BG81" s="298">
        <f t="shared" si="39"/>
        <v>0</v>
      </c>
      <c r="BH81" s="298">
        <f t="shared" si="39"/>
        <v>0</v>
      </c>
      <c r="BI81" s="298">
        <f t="shared" si="39"/>
        <v>0</v>
      </c>
      <c r="BJ81" s="298">
        <f t="shared" si="39"/>
        <v>0</v>
      </c>
      <c r="BK81" s="298">
        <f t="shared" si="39"/>
        <v>0</v>
      </c>
      <c r="BL81" s="298">
        <f t="shared" si="39"/>
        <v>0</v>
      </c>
      <c r="BM81" s="298">
        <f t="shared" si="39"/>
        <v>0</v>
      </c>
      <c r="BN81" s="298">
        <f t="shared" si="39"/>
        <v>0</v>
      </c>
      <c r="BO81" s="298">
        <f t="shared" si="39"/>
        <v>0</v>
      </c>
      <c r="BP81" s="298">
        <f t="shared" si="39"/>
        <v>0</v>
      </c>
      <c r="BQ81" s="298">
        <f t="shared" si="39"/>
        <v>0</v>
      </c>
      <c r="BR81" s="298">
        <f t="shared" si="39"/>
        <v>0</v>
      </c>
      <c r="BS81" s="298">
        <f t="shared" si="39"/>
        <v>0</v>
      </c>
      <c r="BT81" s="298">
        <f t="shared" si="39"/>
        <v>0</v>
      </c>
      <c r="BU81" s="298">
        <f t="shared" si="39"/>
        <v>0</v>
      </c>
      <c r="BV81" s="298">
        <f t="shared" si="39"/>
        <v>0</v>
      </c>
      <c r="BW81" s="298">
        <f t="shared" si="39"/>
        <v>0</v>
      </c>
      <c r="BX81" s="298">
        <f t="shared" si="39"/>
        <v>0</v>
      </c>
      <c r="BY81" s="538">
        <f>BZ74</f>
        <v>-108837577.96293613</v>
      </c>
      <c r="BZ81" s="570"/>
      <c r="CA81" s="229"/>
    </row>
    <row r="82" spans="2:79" ht="15.95">
      <c r="B82" s="540" t="s">
        <v>256</v>
      </c>
      <c r="C82" s="563"/>
      <c r="D82" s="297"/>
      <c r="E82" s="298">
        <f>E81</f>
        <v>0</v>
      </c>
      <c r="F82" s="298">
        <f t="shared" ref="F82:BX82" si="40">E82+F81</f>
        <v>0</v>
      </c>
      <c r="G82" s="298">
        <f t="shared" si="40"/>
        <v>0</v>
      </c>
      <c r="H82" s="298">
        <f t="shared" si="40"/>
        <v>0</v>
      </c>
      <c r="I82" s="298">
        <f t="shared" si="40"/>
        <v>-87324</v>
      </c>
      <c r="J82" s="298">
        <f t="shared" si="40"/>
        <v>-187324</v>
      </c>
      <c r="K82" s="298">
        <f t="shared" si="40"/>
        <v>-187924</v>
      </c>
      <c r="L82" s="298">
        <f t="shared" si="40"/>
        <v>-5212045.0999999996</v>
      </c>
      <c r="M82" s="298">
        <f t="shared" si="40"/>
        <v>-5212652.54</v>
      </c>
      <c r="N82" s="298">
        <f t="shared" si="40"/>
        <v>-5224873.54</v>
      </c>
      <c r="O82" s="298">
        <f t="shared" si="40"/>
        <v>-6208815.6015450619</v>
      </c>
      <c r="P82" s="298">
        <f t="shared" si="40"/>
        <v>-6697625.1699600825</v>
      </c>
      <c r="Q82" s="298">
        <f t="shared" si="40"/>
        <v>-7277514.7383751031</v>
      </c>
      <c r="R82" s="298">
        <f t="shared" si="40"/>
        <v>-8031634.3067901237</v>
      </c>
      <c r="S82" s="298">
        <f t="shared" si="40"/>
        <v>-8520443.8752051443</v>
      </c>
      <c r="T82" s="298">
        <f t="shared" si="40"/>
        <v>-8615253.4436201658</v>
      </c>
      <c r="U82" s="298">
        <f t="shared" si="40"/>
        <v>-50210063.012035184</v>
      </c>
      <c r="V82" s="298">
        <f t="shared" si="40"/>
        <v>-51370940.830450207</v>
      </c>
      <c r="W82" s="298">
        <f t="shared" si="40"/>
        <v>-51465750.39886523</v>
      </c>
      <c r="X82" s="298">
        <f t="shared" si="40"/>
        <v>-51560559.967280254</v>
      </c>
      <c r="Y82" s="298">
        <f t="shared" si="40"/>
        <v>-51789238.572468013</v>
      </c>
      <c r="Z82" s="298">
        <f t="shared" si="40"/>
        <v>-58703230.838660814</v>
      </c>
      <c r="AA82" s="298">
        <f t="shared" si="40"/>
        <v>-65617223.104853615</v>
      </c>
      <c r="AB82" s="298">
        <f t="shared" si="40"/>
        <v>-72531215.371046409</v>
      </c>
      <c r="AC82" s="298">
        <f t="shared" si="40"/>
        <v>-79491216.647108451</v>
      </c>
      <c r="AD82" s="298">
        <f t="shared" si="40"/>
        <v>-88411403.599706396</v>
      </c>
      <c r="AE82" s="298">
        <f t="shared" si="40"/>
        <v>-98104685.667173594</v>
      </c>
      <c r="AF82" s="298">
        <f t="shared" si="40"/>
        <v>-107146975.1611767</v>
      </c>
      <c r="AG82" s="298">
        <f t="shared" si="40"/>
        <v>-116403283.3373695</v>
      </c>
      <c r="AH82" s="298">
        <f t="shared" si="40"/>
        <v>-125704376.6035623</v>
      </c>
      <c r="AI82" s="298">
        <f t="shared" si="40"/>
        <v>-219350523.86777061</v>
      </c>
      <c r="AJ82" s="298">
        <f t="shared" si="40"/>
        <v>-219350523.86777061</v>
      </c>
      <c r="AK82" s="298">
        <f t="shared" si="40"/>
        <v>-219350523.86777061</v>
      </c>
      <c r="AL82" s="298">
        <f t="shared" si="40"/>
        <v>-219350523.86777061</v>
      </c>
      <c r="AM82" s="298">
        <f t="shared" si="40"/>
        <v>-219350523.86777061</v>
      </c>
      <c r="AN82" s="298">
        <f t="shared" si="40"/>
        <v>-219350523.86777061</v>
      </c>
      <c r="AO82" s="298">
        <f t="shared" si="40"/>
        <v>-219350523.86777061</v>
      </c>
      <c r="AP82" s="298">
        <f t="shared" si="40"/>
        <v>-219350523.86777061</v>
      </c>
      <c r="AQ82" s="298">
        <f t="shared" si="40"/>
        <v>-219350523.86777061</v>
      </c>
      <c r="AR82" s="298">
        <f t="shared" si="40"/>
        <v>-219350523.86777061</v>
      </c>
      <c r="AS82" s="298">
        <f t="shared" si="40"/>
        <v>-219350523.86777061</v>
      </c>
      <c r="AT82" s="298">
        <f t="shared" si="40"/>
        <v>-219350523.86777061</v>
      </c>
      <c r="AU82" s="298">
        <f t="shared" si="40"/>
        <v>-219350523.86777061</v>
      </c>
      <c r="AV82" s="298">
        <f t="shared" si="40"/>
        <v>-219350523.86777061</v>
      </c>
      <c r="AW82" s="298">
        <f t="shared" si="40"/>
        <v>-219350523.86777061</v>
      </c>
      <c r="AX82" s="298">
        <f t="shared" si="40"/>
        <v>-219350523.86777061</v>
      </c>
      <c r="AY82" s="298">
        <f t="shared" si="40"/>
        <v>-219350523.86777061</v>
      </c>
      <c r="AZ82" s="298">
        <f t="shared" si="40"/>
        <v>-219350523.86777061</v>
      </c>
      <c r="BA82" s="298">
        <f t="shared" si="40"/>
        <v>-219350523.86777061</v>
      </c>
      <c r="BB82" s="298">
        <f t="shared" si="40"/>
        <v>-219350523.86777061</v>
      </c>
      <c r="BC82" s="298">
        <f t="shared" si="40"/>
        <v>-219350523.86777061</v>
      </c>
      <c r="BD82" s="298">
        <f t="shared" si="40"/>
        <v>-219350523.86777061</v>
      </c>
      <c r="BE82" s="298">
        <f t="shared" si="40"/>
        <v>-219350523.86777061</v>
      </c>
      <c r="BF82" s="298">
        <f t="shared" si="40"/>
        <v>-219350523.86777061</v>
      </c>
      <c r="BG82" s="298">
        <f t="shared" si="40"/>
        <v>-219350523.86777061</v>
      </c>
      <c r="BH82" s="298">
        <f t="shared" si="40"/>
        <v>-219350523.86777061</v>
      </c>
      <c r="BI82" s="298">
        <f t="shared" si="40"/>
        <v>-219350523.86777061</v>
      </c>
      <c r="BJ82" s="298">
        <f t="shared" si="40"/>
        <v>-219350523.86777061</v>
      </c>
      <c r="BK82" s="298">
        <f t="shared" si="40"/>
        <v>-219350523.86777061</v>
      </c>
      <c r="BL82" s="298">
        <f t="shared" si="40"/>
        <v>-219350523.86777061</v>
      </c>
      <c r="BM82" s="298">
        <f t="shared" si="40"/>
        <v>-219350523.86777061</v>
      </c>
      <c r="BN82" s="298">
        <f t="shared" si="40"/>
        <v>-219350523.86777061</v>
      </c>
      <c r="BO82" s="298">
        <f t="shared" si="40"/>
        <v>-219350523.86777061</v>
      </c>
      <c r="BP82" s="298">
        <f t="shared" si="40"/>
        <v>-219350523.86777061</v>
      </c>
      <c r="BQ82" s="298">
        <f t="shared" si="40"/>
        <v>-219350523.86777061</v>
      </c>
      <c r="BR82" s="298">
        <f t="shared" si="40"/>
        <v>-219350523.86777061</v>
      </c>
      <c r="BS82" s="298">
        <f t="shared" si="40"/>
        <v>-219350523.86777061</v>
      </c>
      <c r="BT82" s="298">
        <f t="shared" si="40"/>
        <v>-219350523.86777061</v>
      </c>
      <c r="BU82" s="298">
        <f t="shared" si="40"/>
        <v>-219350523.86777061</v>
      </c>
      <c r="BV82" s="298">
        <f t="shared" si="40"/>
        <v>-219350523.86777061</v>
      </c>
      <c r="BW82" s="298">
        <f t="shared" si="40"/>
        <v>-219350523.86777061</v>
      </c>
      <c r="BX82" s="298">
        <f t="shared" si="40"/>
        <v>-219350523.86777061</v>
      </c>
      <c r="BY82" s="538">
        <f>BY73+BY81</f>
        <v>-219350523.86777061</v>
      </c>
      <c r="BZ82" s="570"/>
      <c r="CA82" s="229"/>
    </row>
    <row r="83" spans="2:79" ht="15.95">
      <c r="B83" s="541" t="s">
        <v>257</v>
      </c>
      <c r="C83" s="563"/>
      <c r="D83" s="299"/>
      <c r="E83" s="300">
        <f t="shared" ref="E83:BX83" si="41">E17+E81</f>
        <v>0</v>
      </c>
      <c r="F83" s="300">
        <f t="shared" si="41"/>
        <v>0</v>
      </c>
      <c r="G83" s="300">
        <f t="shared" si="41"/>
        <v>0</v>
      </c>
      <c r="H83" s="300">
        <f t="shared" si="41"/>
        <v>0</v>
      </c>
      <c r="I83" s="300">
        <f t="shared" si="41"/>
        <v>0</v>
      </c>
      <c r="J83" s="300">
        <f t="shared" si="41"/>
        <v>0</v>
      </c>
      <c r="K83" s="300">
        <f t="shared" si="41"/>
        <v>-600</v>
      </c>
      <c r="L83" s="300">
        <f t="shared" si="41"/>
        <v>378.90000000037253</v>
      </c>
      <c r="M83" s="301">
        <f t="shared" si="41"/>
        <v>392.55999999999995</v>
      </c>
      <c r="N83" s="300">
        <f t="shared" si="41"/>
        <v>65343</v>
      </c>
      <c r="O83" s="301">
        <f t="shared" si="41"/>
        <v>1345291.6054114597</v>
      </c>
      <c r="P83" s="301">
        <f t="shared" si="41"/>
        <v>1025454.9872371533</v>
      </c>
      <c r="Q83" s="301">
        <f t="shared" si="41"/>
        <v>-647245.47971936851</v>
      </c>
      <c r="R83" s="301">
        <f t="shared" si="41"/>
        <v>-809834.66841502069</v>
      </c>
      <c r="S83" s="301">
        <f t="shared" si="41"/>
        <v>90317.231584979396</v>
      </c>
      <c r="T83" s="301">
        <f t="shared" si="41"/>
        <v>43645.531584979355</v>
      </c>
      <c r="U83" s="300">
        <f t="shared" si="41"/>
        <v>2392530.4315849841</v>
      </c>
      <c r="V83" s="300">
        <f t="shared" si="41"/>
        <v>-1384752.1509150208</v>
      </c>
      <c r="W83" s="300">
        <f t="shared" si="41"/>
        <v>-94809.568415020651</v>
      </c>
      <c r="X83" s="301">
        <f t="shared" si="41"/>
        <v>129064.76408497937</v>
      </c>
      <c r="Y83" s="301">
        <f t="shared" si="41"/>
        <v>771321.3948122419</v>
      </c>
      <c r="Z83" s="301">
        <f t="shared" si="41"/>
        <v>86007.733807201497</v>
      </c>
      <c r="AA83" s="301">
        <f t="shared" si="41"/>
        <v>1086007.7338072015</v>
      </c>
      <c r="AB83" s="301">
        <f t="shared" si="41"/>
        <v>86007.733807201497</v>
      </c>
      <c r="AC83" s="300">
        <f t="shared" si="41"/>
        <v>-58649.795675568283</v>
      </c>
      <c r="AD83" s="301">
        <f t="shared" si="41"/>
        <v>-117335.47221147828</v>
      </c>
      <c r="AE83" s="301">
        <f t="shared" si="41"/>
        <v>-329784.76958071999</v>
      </c>
      <c r="AF83" s="301">
        <f t="shared" si="41"/>
        <v>-239438.01361663081</v>
      </c>
      <c r="AG83" s="301">
        <f t="shared" si="41"/>
        <v>-304424.2633063253</v>
      </c>
      <c r="AH83" s="301">
        <f t="shared" si="41"/>
        <v>4158837.6448109634</v>
      </c>
      <c r="AI83" s="301">
        <f t="shared" si="41"/>
        <v>20206019.560201615</v>
      </c>
      <c r="AJ83" s="301">
        <f t="shared" si="41"/>
        <v>0</v>
      </c>
      <c r="AK83" s="301">
        <f t="shared" si="41"/>
        <v>0</v>
      </c>
      <c r="AL83" s="301">
        <f t="shared" si="41"/>
        <v>0</v>
      </c>
      <c r="AM83" s="301">
        <f t="shared" si="41"/>
        <v>0</v>
      </c>
      <c r="AN83" s="301">
        <f t="shared" si="41"/>
        <v>0</v>
      </c>
      <c r="AO83" s="300">
        <f t="shared" si="41"/>
        <v>0</v>
      </c>
      <c r="AP83" s="301">
        <f t="shared" si="41"/>
        <v>0</v>
      </c>
      <c r="AQ83" s="301">
        <f t="shared" si="41"/>
        <v>0</v>
      </c>
      <c r="AR83" s="301">
        <f t="shared" si="41"/>
        <v>0</v>
      </c>
      <c r="AS83" s="300">
        <f t="shared" si="41"/>
        <v>0</v>
      </c>
      <c r="AT83" s="300">
        <f t="shared" si="41"/>
        <v>0</v>
      </c>
      <c r="AU83" s="300">
        <f t="shared" si="41"/>
        <v>0</v>
      </c>
      <c r="AV83" s="300">
        <f t="shared" si="41"/>
        <v>0</v>
      </c>
      <c r="AW83" s="300">
        <f t="shared" si="41"/>
        <v>0</v>
      </c>
      <c r="AX83" s="300">
        <f t="shared" si="41"/>
        <v>0</v>
      </c>
      <c r="AY83" s="300">
        <f t="shared" si="41"/>
        <v>0</v>
      </c>
      <c r="AZ83" s="300">
        <f t="shared" si="41"/>
        <v>0</v>
      </c>
      <c r="BA83" s="300">
        <f t="shared" si="41"/>
        <v>0</v>
      </c>
      <c r="BB83" s="300">
        <f t="shared" si="41"/>
        <v>0</v>
      </c>
      <c r="BC83" s="300">
        <f t="shared" si="41"/>
        <v>0</v>
      </c>
      <c r="BD83" s="300">
        <f t="shared" si="41"/>
        <v>0</v>
      </c>
      <c r="BE83" s="300">
        <f t="shared" si="41"/>
        <v>0</v>
      </c>
      <c r="BF83" s="300">
        <f t="shared" si="41"/>
        <v>0</v>
      </c>
      <c r="BG83" s="300">
        <f t="shared" si="41"/>
        <v>0</v>
      </c>
      <c r="BH83" s="300">
        <f t="shared" si="41"/>
        <v>0</v>
      </c>
      <c r="BI83" s="300">
        <f t="shared" si="41"/>
        <v>0</v>
      </c>
      <c r="BJ83" s="300">
        <f t="shared" si="41"/>
        <v>0</v>
      </c>
      <c r="BK83" s="300">
        <f t="shared" si="41"/>
        <v>0</v>
      </c>
      <c r="BL83" s="302">
        <f t="shared" si="41"/>
        <v>0</v>
      </c>
      <c r="BM83" s="302">
        <f t="shared" si="41"/>
        <v>0</v>
      </c>
      <c r="BN83" s="302">
        <f t="shared" si="41"/>
        <v>0</v>
      </c>
      <c r="BO83" s="302">
        <f t="shared" si="41"/>
        <v>0</v>
      </c>
      <c r="BP83" s="302">
        <f t="shared" si="41"/>
        <v>0</v>
      </c>
      <c r="BQ83" s="302">
        <f t="shared" si="41"/>
        <v>0</v>
      </c>
      <c r="BR83" s="302">
        <f t="shared" si="41"/>
        <v>0</v>
      </c>
      <c r="BS83" s="302">
        <f t="shared" si="41"/>
        <v>0</v>
      </c>
      <c r="BT83" s="302">
        <f t="shared" si="41"/>
        <v>0</v>
      </c>
      <c r="BU83" s="302">
        <f t="shared" si="41"/>
        <v>0</v>
      </c>
      <c r="BV83" s="302">
        <f t="shared" si="41"/>
        <v>0</v>
      </c>
      <c r="BW83" s="302">
        <f t="shared" si="41"/>
        <v>0</v>
      </c>
      <c r="BX83" s="302">
        <f t="shared" si="41"/>
        <v>0</v>
      </c>
      <c r="BY83" s="539">
        <f>BY17+BY73+BY81</f>
        <v>27499746.63087979</v>
      </c>
      <c r="BZ83" s="572"/>
      <c r="CA83" s="229"/>
    </row>
    <row r="84" spans="2:79">
      <c r="B84" s="542" t="s">
        <v>258</v>
      </c>
      <c r="C84" s="563"/>
      <c r="D84" s="303"/>
      <c r="E84" s="304">
        <f>E83</f>
        <v>0</v>
      </c>
      <c r="F84" s="304">
        <f t="shared" ref="F84:BX84" si="42">F83+E84</f>
        <v>0</v>
      </c>
      <c r="G84" s="304">
        <f t="shared" si="42"/>
        <v>0</v>
      </c>
      <c r="H84" s="304">
        <f t="shared" si="42"/>
        <v>0</v>
      </c>
      <c r="I84" s="304">
        <f t="shared" si="42"/>
        <v>0</v>
      </c>
      <c r="J84" s="304">
        <f t="shared" si="42"/>
        <v>0</v>
      </c>
      <c r="K84" s="304">
        <f t="shared" si="42"/>
        <v>-600</v>
      </c>
      <c r="L84" s="304">
        <f t="shared" si="42"/>
        <v>-221.09999999962747</v>
      </c>
      <c r="M84" s="304">
        <f t="shared" si="42"/>
        <v>171.46000000037247</v>
      </c>
      <c r="N84" s="304">
        <f t="shared" si="42"/>
        <v>65514.46000000037</v>
      </c>
      <c r="O84" s="304">
        <f t="shared" si="42"/>
        <v>1410806.0654114601</v>
      </c>
      <c r="P84" s="304">
        <f t="shared" si="42"/>
        <v>2436261.0526486132</v>
      </c>
      <c r="Q84" s="304">
        <f t="shared" si="42"/>
        <v>1789015.5729292447</v>
      </c>
      <c r="R84" s="304">
        <f t="shared" si="42"/>
        <v>979180.90451422404</v>
      </c>
      <c r="S84" s="304">
        <f t="shared" si="42"/>
        <v>1069498.1360992035</v>
      </c>
      <c r="T84" s="304">
        <f t="shared" si="42"/>
        <v>1113143.6676841828</v>
      </c>
      <c r="U84" s="304">
        <f t="shared" si="42"/>
        <v>3505674.0992691666</v>
      </c>
      <c r="V84" s="304">
        <f t="shared" si="42"/>
        <v>2120921.9483541455</v>
      </c>
      <c r="W84" s="304">
        <f t="shared" si="42"/>
        <v>2026112.3799391249</v>
      </c>
      <c r="X84" s="304">
        <f t="shared" si="42"/>
        <v>2155177.1440241043</v>
      </c>
      <c r="Y84" s="304">
        <f t="shared" si="42"/>
        <v>2926498.538836346</v>
      </c>
      <c r="Z84" s="304">
        <f t="shared" si="42"/>
        <v>3012506.2726435475</v>
      </c>
      <c r="AA84" s="304">
        <f t="shared" si="42"/>
        <v>4098514.006450749</v>
      </c>
      <c r="AB84" s="304">
        <f t="shared" si="42"/>
        <v>4184521.7402579505</v>
      </c>
      <c r="AC84" s="304">
        <f t="shared" si="42"/>
        <v>4125871.9445823822</v>
      </c>
      <c r="AD84" s="304">
        <f t="shared" si="42"/>
        <v>4008536.4723709039</v>
      </c>
      <c r="AE84" s="304">
        <f t="shared" si="42"/>
        <v>3678751.7027901839</v>
      </c>
      <c r="AF84" s="304">
        <f t="shared" si="42"/>
        <v>3439313.6891735531</v>
      </c>
      <c r="AG84" s="304">
        <f t="shared" si="42"/>
        <v>3134889.4258672278</v>
      </c>
      <c r="AH84" s="304">
        <f t="shared" si="42"/>
        <v>7293727.0706781913</v>
      </c>
      <c r="AI84" s="304">
        <f t="shared" si="42"/>
        <v>27499746.630879804</v>
      </c>
      <c r="AJ84" s="304">
        <f t="shared" si="42"/>
        <v>27499746.630879804</v>
      </c>
      <c r="AK84" s="304">
        <f t="shared" si="42"/>
        <v>27499746.630879804</v>
      </c>
      <c r="AL84" s="304">
        <f t="shared" si="42"/>
        <v>27499746.630879804</v>
      </c>
      <c r="AM84" s="304">
        <f t="shared" si="42"/>
        <v>27499746.630879804</v>
      </c>
      <c r="AN84" s="304">
        <f t="shared" si="42"/>
        <v>27499746.630879804</v>
      </c>
      <c r="AO84" s="304">
        <f t="shared" si="42"/>
        <v>27499746.630879804</v>
      </c>
      <c r="AP84" s="304">
        <f t="shared" si="42"/>
        <v>27499746.630879804</v>
      </c>
      <c r="AQ84" s="304">
        <f t="shared" si="42"/>
        <v>27499746.630879804</v>
      </c>
      <c r="AR84" s="304">
        <f t="shared" si="42"/>
        <v>27499746.630879804</v>
      </c>
      <c r="AS84" s="304">
        <f t="shared" si="42"/>
        <v>27499746.630879804</v>
      </c>
      <c r="AT84" s="304">
        <f t="shared" si="42"/>
        <v>27499746.630879804</v>
      </c>
      <c r="AU84" s="304">
        <f t="shared" si="42"/>
        <v>27499746.630879804</v>
      </c>
      <c r="AV84" s="304">
        <f t="shared" si="42"/>
        <v>27499746.630879804</v>
      </c>
      <c r="AW84" s="304">
        <f t="shared" si="42"/>
        <v>27499746.630879804</v>
      </c>
      <c r="AX84" s="304">
        <f t="shared" si="42"/>
        <v>27499746.630879804</v>
      </c>
      <c r="AY84" s="304">
        <f t="shared" si="42"/>
        <v>27499746.630879804</v>
      </c>
      <c r="AZ84" s="304">
        <f t="shared" si="42"/>
        <v>27499746.630879804</v>
      </c>
      <c r="BA84" s="304">
        <f t="shared" si="42"/>
        <v>27499746.630879804</v>
      </c>
      <c r="BB84" s="304">
        <f t="shared" si="42"/>
        <v>27499746.630879804</v>
      </c>
      <c r="BC84" s="304">
        <f t="shared" si="42"/>
        <v>27499746.630879804</v>
      </c>
      <c r="BD84" s="304">
        <f t="shared" si="42"/>
        <v>27499746.630879804</v>
      </c>
      <c r="BE84" s="304">
        <f t="shared" si="42"/>
        <v>27499746.630879804</v>
      </c>
      <c r="BF84" s="304">
        <f t="shared" si="42"/>
        <v>27499746.630879804</v>
      </c>
      <c r="BG84" s="304">
        <f t="shared" si="42"/>
        <v>27499746.630879804</v>
      </c>
      <c r="BH84" s="304">
        <f t="shared" si="42"/>
        <v>27499746.630879804</v>
      </c>
      <c r="BI84" s="304">
        <f t="shared" si="42"/>
        <v>27499746.630879804</v>
      </c>
      <c r="BJ84" s="304">
        <f t="shared" si="42"/>
        <v>27499746.630879804</v>
      </c>
      <c r="BK84" s="304">
        <f t="shared" si="42"/>
        <v>27499746.630879804</v>
      </c>
      <c r="BL84" s="304">
        <f t="shared" si="42"/>
        <v>27499746.630879804</v>
      </c>
      <c r="BM84" s="304">
        <f t="shared" si="42"/>
        <v>27499746.630879804</v>
      </c>
      <c r="BN84" s="304">
        <f t="shared" si="42"/>
        <v>27499746.630879804</v>
      </c>
      <c r="BO84" s="304">
        <f t="shared" si="42"/>
        <v>27499746.630879804</v>
      </c>
      <c r="BP84" s="304">
        <f t="shared" si="42"/>
        <v>27499746.630879804</v>
      </c>
      <c r="BQ84" s="304">
        <f t="shared" si="42"/>
        <v>27499746.630879804</v>
      </c>
      <c r="BR84" s="304">
        <f t="shared" si="42"/>
        <v>27499746.630879804</v>
      </c>
      <c r="BS84" s="304">
        <f t="shared" si="42"/>
        <v>27499746.630879804</v>
      </c>
      <c r="BT84" s="304">
        <f t="shared" si="42"/>
        <v>27499746.630879804</v>
      </c>
      <c r="BU84" s="304">
        <f t="shared" si="42"/>
        <v>27499746.630879804</v>
      </c>
      <c r="BV84" s="304">
        <f t="shared" si="42"/>
        <v>27499746.630879804</v>
      </c>
      <c r="BW84" s="304">
        <f t="shared" si="42"/>
        <v>27499746.630879804</v>
      </c>
      <c r="BX84" s="304">
        <f t="shared" si="42"/>
        <v>27499746.630879804</v>
      </c>
      <c r="BY84" s="229"/>
      <c r="BZ84" s="229"/>
      <c r="CA84" s="229"/>
    </row>
    <row r="85" spans="2:79">
      <c r="B85" s="229"/>
      <c r="C85" s="229"/>
      <c r="D85" s="229"/>
      <c r="E85" s="229"/>
      <c r="F85" s="229"/>
      <c r="G85" s="229"/>
      <c r="H85" s="229"/>
      <c r="I85" s="229"/>
      <c r="J85" s="229"/>
      <c r="K85" s="229"/>
      <c r="L85" s="229"/>
      <c r="M85" s="229"/>
      <c r="N85" s="229">
        <f>N82+N14+N15</f>
        <v>-5227309.54</v>
      </c>
      <c r="O85" s="229"/>
      <c r="P85" s="229"/>
      <c r="Q85" s="229"/>
      <c r="R85" s="229"/>
      <c r="S85" s="229"/>
      <c r="T85" s="229"/>
      <c r="U85" s="229"/>
      <c r="V85" s="229"/>
      <c r="W85" s="229"/>
      <c r="X85" s="229"/>
      <c r="Y85" s="229"/>
      <c r="Z85" s="229"/>
      <c r="AA85" s="229"/>
      <c r="AB85" s="229"/>
      <c r="AC85" s="229"/>
      <c r="AD85" s="229"/>
      <c r="AE85" s="229"/>
      <c r="AF85" s="229"/>
      <c r="AG85" s="229"/>
      <c r="AH85" s="229"/>
      <c r="AI85" s="229"/>
      <c r="AJ85" s="229"/>
      <c r="AK85" s="229"/>
      <c r="AL85" s="229"/>
      <c r="AM85" s="229"/>
      <c r="AN85" s="229"/>
      <c r="AO85" s="229"/>
      <c r="AP85" s="229"/>
      <c r="AQ85" s="229"/>
      <c r="AR85" s="229"/>
      <c r="AS85" s="229"/>
      <c r="AT85" s="229"/>
      <c r="AU85" s="229"/>
      <c r="AV85" s="229"/>
      <c r="AW85" s="229"/>
      <c r="AX85" s="229"/>
      <c r="AY85" s="229"/>
      <c r="AZ85" s="229"/>
      <c r="BA85" s="229"/>
      <c r="BB85" s="229"/>
      <c r="BC85" s="229"/>
      <c r="BD85" s="229"/>
      <c r="BE85" s="229"/>
      <c r="BF85" s="229"/>
      <c r="BG85" s="229"/>
      <c r="BH85" s="229"/>
      <c r="BI85" s="229"/>
      <c r="BJ85" s="229"/>
      <c r="BK85" s="229"/>
      <c r="BL85" s="229"/>
      <c r="BM85" s="229"/>
      <c r="BN85" s="229"/>
      <c r="BO85" s="229"/>
      <c r="BP85" s="229"/>
      <c r="BQ85" s="229"/>
      <c r="BR85" s="229"/>
      <c r="BS85" s="229"/>
      <c r="BT85" s="229"/>
      <c r="BU85" s="229"/>
      <c r="BV85" s="229"/>
      <c r="BW85" s="229"/>
      <c r="BX85" s="229"/>
      <c r="BY85" s="305">
        <f>AI84-AI55-AI56-SUM(AG12:AI12)-SUM(AG63:AI63)</f>
        <v>30342462.970879804</v>
      </c>
      <c r="BZ85" s="229"/>
      <c r="CA85" s="229"/>
    </row>
    <row r="86" spans="2:79">
      <c r="B86" s="229"/>
      <c r="C86" s="229"/>
      <c r="D86" s="229"/>
      <c r="E86" s="229"/>
      <c r="F86" s="229"/>
      <c r="G86" s="22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29"/>
      <c r="AA86" s="229"/>
      <c r="AB86" s="229"/>
      <c r="AC86" s="229"/>
      <c r="AD86" s="229"/>
      <c r="AE86" s="229"/>
      <c r="AF86" s="229"/>
      <c r="AG86" s="229"/>
      <c r="AH86" s="229"/>
      <c r="AI86" s="229"/>
      <c r="AJ86" s="229"/>
      <c r="AK86" s="229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29"/>
      <c r="BH86" s="229"/>
      <c r="BI86" s="229"/>
      <c r="BJ86" s="229"/>
      <c r="BK86" s="229"/>
      <c r="BL86" s="229"/>
      <c r="BM86" s="229"/>
      <c r="BN86" s="229"/>
      <c r="BO86" s="229"/>
      <c r="BP86" s="229"/>
      <c r="BQ86" s="229"/>
      <c r="BR86" s="229"/>
      <c r="BS86" s="229"/>
      <c r="BT86" s="229"/>
      <c r="BU86" s="229"/>
      <c r="BV86" s="229"/>
      <c r="BW86" s="229"/>
      <c r="BX86" s="229"/>
      <c r="BY86" s="305"/>
      <c r="BZ86" s="229">
        <f>AI84-SUM(AG12:AI12)-SUM(AI55:AI56)-SUM(AG63:AI63)</f>
        <v>30342462.970879804</v>
      </c>
      <c r="CA86" s="229"/>
    </row>
    <row r="87" spans="2:79" hidden="1">
      <c r="B87" s="229"/>
      <c r="C87" s="229"/>
      <c r="D87" s="306" t="s">
        <v>259</v>
      </c>
      <c r="E87" s="306"/>
      <c r="F87" s="306"/>
      <c r="G87" s="306"/>
      <c r="H87" s="306"/>
      <c r="I87" s="306"/>
      <c r="J87" s="306"/>
      <c r="K87" s="306"/>
      <c r="L87" s="306"/>
      <c r="M87" s="306"/>
      <c r="N87" s="306"/>
      <c r="O87" s="306"/>
      <c r="P87" s="306"/>
      <c r="Q87" s="306"/>
      <c r="R87" s="306"/>
      <c r="S87" s="306"/>
      <c r="T87" s="306"/>
      <c r="U87" s="306"/>
      <c r="V87" s="307"/>
      <c r="W87" s="307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  <c r="AK87" s="307"/>
      <c r="AL87" s="307"/>
      <c r="AM87" s="307"/>
      <c r="AN87" s="307"/>
      <c r="AO87" s="307"/>
      <c r="AP87" s="307"/>
      <c r="AQ87" s="307"/>
      <c r="AR87" s="307"/>
      <c r="AS87" s="307"/>
      <c r="AT87" s="307"/>
      <c r="AU87" s="307"/>
      <c r="AV87" s="307"/>
      <c r="AW87" s="307"/>
      <c r="AX87" s="307"/>
      <c r="AY87" s="307"/>
      <c r="AZ87" s="307"/>
      <c r="BA87" s="307"/>
      <c r="BB87" s="307"/>
      <c r="BC87" s="307"/>
      <c r="BD87" s="307"/>
      <c r="BE87" s="307"/>
      <c r="BF87" s="307"/>
      <c r="BG87" s="307"/>
      <c r="BH87" s="307"/>
      <c r="BI87" s="307"/>
      <c r="BJ87" s="307"/>
      <c r="BK87" s="307"/>
      <c r="BL87" s="307"/>
      <c r="BM87" s="307"/>
      <c r="BN87" s="307"/>
      <c r="BO87" s="307"/>
      <c r="BP87" s="307"/>
      <c r="BQ87" s="307"/>
      <c r="BR87" s="307"/>
      <c r="BS87" s="307"/>
      <c r="BT87" s="307"/>
      <c r="BU87" s="307"/>
      <c r="BV87" s="307"/>
      <c r="BW87" s="307"/>
      <c r="BX87" s="307"/>
      <c r="BY87" s="305"/>
      <c r="BZ87" s="229"/>
      <c r="CA87" s="229"/>
    </row>
    <row r="88" spans="2:79" hidden="1">
      <c r="B88" s="229"/>
      <c r="C88" s="229"/>
      <c r="D88" s="229"/>
      <c r="E88" s="229"/>
      <c r="F88" s="229"/>
      <c r="G88" s="229"/>
      <c r="H88" s="229"/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  <c r="U88" s="229"/>
      <c r="V88" s="229"/>
      <c r="W88" s="229"/>
      <c r="X88" s="229"/>
      <c r="Y88" s="229"/>
      <c r="Z88" s="229"/>
      <c r="AA88" s="229"/>
      <c r="AB88" s="229"/>
      <c r="AC88" s="229"/>
      <c r="AD88" s="229"/>
      <c r="AE88" s="229"/>
      <c r="AF88" s="229"/>
      <c r="AG88" s="229"/>
      <c r="AH88" s="229"/>
      <c r="AI88" s="229"/>
      <c r="AJ88" s="229"/>
      <c r="AK88" s="229"/>
      <c r="AL88" s="229"/>
      <c r="AM88" s="229"/>
      <c r="AN88" s="229"/>
      <c r="AO88" s="229"/>
      <c r="AP88" s="229"/>
      <c r="AQ88" s="229"/>
      <c r="AR88" s="229"/>
      <c r="AS88" s="229"/>
      <c r="AT88" s="229"/>
      <c r="AU88" s="229"/>
      <c r="AV88" s="229"/>
      <c r="AW88" s="229"/>
      <c r="AX88" s="229"/>
      <c r="AY88" s="229"/>
      <c r="AZ88" s="229"/>
      <c r="BA88" s="229"/>
      <c r="BB88" s="229"/>
      <c r="BC88" s="229"/>
      <c r="BD88" s="229"/>
      <c r="BE88" s="229"/>
      <c r="BF88" s="229"/>
      <c r="BG88" s="229"/>
      <c r="BH88" s="229"/>
      <c r="BI88" s="229"/>
      <c r="BJ88" s="229"/>
      <c r="BK88" s="229"/>
      <c r="BL88" s="229"/>
      <c r="BM88" s="229"/>
      <c r="BN88" s="229"/>
      <c r="BO88" s="229"/>
      <c r="BP88" s="229"/>
      <c r="BQ88" s="229"/>
      <c r="BR88" s="229"/>
      <c r="BS88" s="229"/>
      <c r="BT88" s="229"/>
      <c r="BU88" s="229"/>
      <c r="BV88" s="229"/>
      <c r="BW88" s="229"/>
      <c r="BX88" s="229"/>
      <c r="BY88" s="305"/>
      <c r="BZ88" s="229"/>
      <c r="CA88" s="229"/>
    </row>
    <row r="89" spans="2:79" hidden="1">
      <c r="B89" s="229"/>
      <c r="C89" s="308" t="s">
        <v>260</v>
      </c>
      <c r="D89" s="309"/>
      <c r="E89" s="310">
        <f>E97+E113+E129+E146</f>
        <v>0</v>
      </c>
      <c r="F89" s="310">
        <f t="shared" ref="F89:H89" si="43">F97+F146</f>
        <v>0</v>
      </c>
      <c r="G89" s="310">
        <f t="shared" si="43"/>
        <v>0</v>
      </c>
      <c r="H89" s="310">
        <f t="shared" si="43"/>
        <v>0</v>
      </c>
      <c r="I89" s="310">
        <f t="shared" ref="I89:AI89" si="44">I97+I113</f>
        <v>-87324</v>
      </c>
      <c r="J89" s="310">
        <f t="shared" si="44"/>
        <v>-100000</v>
      </c>
      <c r="K89" s="310">
        <f t="shared" si="44"/>
        <v>3400000</v>
      </c>
      <c r="L89" s="310">
        <f t="shared" si="44"/>
        <v>-5024500</v>
      </c>
      <c r="M89" s="310">
        <f t="shared" si="44"/>
        <v>-1000</v>
      </c>
      <c r="N89" s="310">
        <f t="shared" si="44"/>
        <v>-80000</v>
      </c>
      <c r="O89" s="310">
        <f t="shared" si="44"/>
        <v>-2381000</v>
      </c>
      <c r="P89" s="310">
        <f t="shared" si="44"/>
        <v>-1611824</v>
      </c>
      <c r="Q89" s="310">
        <f t="shared" si="44"/>
        <v>0</v>
      </c>
      <c r="R89" s="310">
        <f t="shared" si="44"/>
        <v>0</v>
      </c>
      <c r="S89" s="310">
        <f t="shared" si="44"/>
        <v>-560000</v>
      </c>
      <c r="T89" s="310">
        <f t="shared" si="44"/>
        <v>0</v>
      </c>
      <c r="U89" s="310">
        <f t="shared" si="44"/>
        <v>-2600000</v>
      </c>
      <c r="V89" s="310">
        <f t="shared" si="44"/>
        <v>0</v>
      </c>
      <c r="W89" s="310">
        <f t="shared" si="44"/>
        <v>0</v>
      </c>
      <c r="X89" s="310">
        <f t="shared" si="44"/>
        <v>0</v>
      </c>
      <c r="Y89" s="310">
        <f t="shared" si="44"/>
        <v>-1000000</v>
      </c>
      <c r="Z89" s="310">
        <f t="shared" si="44"/>
        <v>-7000000</v>
      </c>
      <c r="AA89" s="310">
        <f t="shared" si="44"/>
        <v>-8000000</v>
      </c>
      <c r="AB89" s="310">
        <f t="shared" si="44"/>
        <v>-7000000</v>
      </c>
      <c r="AC89" s="310">
        <f t="shared" si="44"/>
        <v>0</v>
      </c>
      <c r="AD89" s="310">
        <f t="shared" si="44"/>
        <v>0</v>
      </c>
      <c r="AE89" s="310">
        <f t="shared" si="44"/>
        <v>0</v>
      </c>
      <c r="AF89" s="310">
        <f t="shared" si="44"/>
        <v>0</v>
      </c>
      <c r="AG89" s="310">
        <f t="shared" si="44"/>
        <v>0</v>
      </c>
      <c r="AH89" s="310">
        <f t="shared" si="44"/>
        <v>0</v>
      </c>
      <c r="AI89" s="310">
        <f t="shared" si="44"/>
        <v>32045648</v>
      </c>
      <c r="AJ89" s="310">
        <f t="shared" ref="AJ89:BW89" si="45">AJ97+AJ146</f>
        <v>0</v>
      </c>
      <c r="AK89" s="310">
        <f t="shared" si="45"/>
        <v>0</v>
      </c>
      <c r="AL89" s="310">
        <f t="shared" si="45"/>
        <v>0</v>
      </c>
      <c r="AM89" s="310">
        <f t="shared" si="45"/>
        <v>0</v>
      </c>
      <c r="AN89" s="310">
        <f t="shared" si="45"/>
        <v>0</v>
      </c>
      <c r="AO89" s="310">
        <f t="shared" si="45"/>
        <v>0</v>
      </c>
      <c r="AP89" s="310">
        <f t="shared" si="45"/>
        <v>0</v>
      </c>
      <c r="AQ89" s="310">
        <f t="shared" si="45"/>
        <v>0</v>
      </c>
      <c r="AR89" s="310">
        <f t="shared" si="45"/>
        <v>0</v>
      </c>
      <c r="AS89" s="310">
        <f t="shared" si="45"/>
        <v>0</v>
      </c>
      <c r="AT89" s="310">
        <f t="shared" si="45"/>
        <v>0</v>
      </c>
      <c r="AU89" s="310">
        <f t="shared" si="45"/>
        <v>0</v>
      </c>
      <c r="AV89" s="310">
        <f t="shared" si="45"/>
        <v>0</v>
      </c>
      <c r="AW89" s="310">
        <f t="shared" si="45"/>
        <v>0</v>
      </c>
      <c r="AX89" s="310">
        <f t="shared" si="45"/>
        <v>0</v>
      </c>
      <c r="AY89" s="310">
        <f t="shared" si="45"/>
        <v>0</v>
      </c>
      <c r="AZ89" s="310">
        <f t="shared" si="45"/>
        <v>0</v>
      </c>
      <c r="BA89" s="310">
        <f t="shared" si="45"/>
        <v>0</v>
      </c>
      <c r="BB89" s="310">
        <f t="shared" si="45"/>
        <v>0</v>
      </c>
      <c r="BC89" s="310">
        <f t="shared" si="45"/>
        <v>0</v>
      </c>
      <c r="BD89" s="310">
        <f t="shared" si="45"/>
        <v>0</v>
      </c>
      <c r="BE89" s="310">
        <f t="shared" si="45"/>
        <v>0</v>
      </c>
      <c r="BF89" s="310">
        <f t="shared" si="45"/>
        <v>0</v>
      </c>
      <c r="BG89" s="310">
        <f t="shared" si="45"/>
        <v>0</v>
      </c>
      <c r="BH89" s="310">
        <f t="shared" si="45"/>
        <v>0</v>
      </c>
      <c r="BI89" s="310">
        <f t="shared" si="45"/>
        <v>0</v>
      </c>
      <c r="BJ89" s="310">
        <f t="shared" si="45"/>
        <v>0</v>
      </c>
      <c r="BK89" s="310">
        <f t="shared" si="45"/>
        <v>0</v>
      </c>
      <c r="BL89" s="310">
        <f t="shared" si="45"/>
        <v>0</v>
      </c>
      <c r="BM89" s="310">
        <f t="shared" si="45"/>
        <v>0</v>
      </c>
      <c r="BN89" s="310">
        <f t="shared" si="45"/>
        <v>0</v>
      </c>
      <c r="BO89" s="310">
        <f t="shared" si="45"/>
        <v>0</v>
      </c>
      <c r="BP89" s="310">
        <f t="shared" si="45"/>
        <v>0</v>
      </c>
      <c r="BQ89" s="310">
        <f t="shared" si="45"/>
        <v>0</v>
      </c>
      <c r="BR89" s="310">
        <f t="shared" si="45"/>
        <v>0</v>
      </c>
      <c r="BS89" s="310">
        <f t="shared" si="45"/>
        <v>0</v>
      </c>
      <c r="BT89" s="310">
        <f t="shared" si="45"/>
        <v>0</v>
      </c>
      <c r="BU89" s="310">
        <f t="shared" si="45"/>
        <v>0</v>
      </c>
      <c r="BV89" s="310">
        <f t="shared" si="45"/>
        <v>0</v>
      </c>
      <c r="BW89" s="310">
        <f t="shared" si="45"/>
        <v>0</v>
      </c>
      <c r="BX89" s="310">
        <f>BX97+BX146+BX84</f>
        <v>27499746.630879804</v>
      </c>
      <c r="BY89" s="305"/>
      <c r="BZ89" s="229"/>
      <c r="CA89" s="229"/>
    </row>
    <row r="90" spans="2:79" hidden="1">
      <c r="B90" s="229"/>
      <c r="C90" s="311" t="s">
        <v>261</v>
      </c>
      <c r="D90" s="543">
        <f>IRR(I89:BX89)*12</f>
        <v>10.938367749478008</v>
      </c>
      <c r="E90" s="568"/>
      <c r="F90" s="229"/>
      <c r="G90" s="229"/>
      <c r="H90" s="229"/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  <c r="U90" s="229"/>
      <c r="V90" s="229"/>
      <c r="W90" s="229"/>
      <c r="X90" s="229"/>
      <c r="Y90" s="229"/>
      <c r="Z90" s="229"/>
      <c r="AA90" s="229"/>
      <c r="AB90" s="229"/>
      <c r="AC90" s="229"/>
      <c r="AD90" s="229"/>
      <c r="AE90" s="229"/>
      <c r="AF90" s="229"/>
      <c r="AG90" s="229"/>
      <c r="AH90" s="229"/>
      <c r="AI90" s="229"/>
      <c r="AJ90" s="229"/>
      <c r="AK90" s="229"/>
      <c r="AL90" s="229"/>
      <c r="AM90" s="229"/>
      <c r="AN90" s="229"/>
      <c r="AO90" s="229"/>
      <c r="AP90" s="229"/>
      <c r="AQ90" s="229"/>
      <c r="AR90" s="229"/>
      <c r="AS90" s="229"/>
      <c r="AT90" s="229"/>
      <c r="AU90" s="229"/>
      <c r="AV90" s="229"/>
      <c r="AW90" s="229"/>
      <c r="AX90" s="229"/>
      <c r="AY90" s="229"/>
      <c r="AZ90" s="229"/>
      <c r="BA90" s="229"/>
      <c r="BB90" s="229"/>
      <c r="BC90" s="229"/>
      <c r="BD90" s="229"/>
      <c r="BE90" s="229"/>
      <c r="BF90" s="229"/>
      <c r="BG90" s="229"/>
      <c r="BH90" s="229"/>
      <c r="BI90" s="229"/>
      <c r="BJ90" s="229"/>
      <c r="BK90" s="229"/>
      <c r="BL90" s="229"/>
      <c r="BM90" s="229"/>
      <c r="BN90" s="229"/>
      <c r="BO90" s="229"/>
      <c r="BP90" s="229"/>
      <c r="BQ90" s="229"/>
      <c r="BR90" s="229"/>
      <c r="BS90" s="229"/>
      <c r="BT90" s="229"/>
      <c r="BU90" s="229"/>
      <c r="BV90" s="229"/>
      <c r="BW90" s="229"/>
      <c r="BX90" s="229"/>
      <c r="BY90" s="305"/>
      <c r="BZ90" s="229"/>
      <c r="CA90" s="229"/>
    </row>
    <row r="91" spans="2:79" hidden="1">
      <c r="B91" s="229"/>
      <c r="C91" s="229"/>
      <c r="D91" s="229"/>
      <c r="E91" s="229"/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29"/>
      <c r="Y91" s="229"/>
      <c r="Z91" s="229"/>
      <c r="AA91" s="229"/>
      <c r="AB91" s="229"/>
      <c r="AC91" s="229"/>
      <c r="AD91" s="229"/>
      <c r="AE91" s="229"/>
      <c r="AF91" s="229"/>
      <c r="AG91" s="229"/>
      <c r="AH91" s="229"/>
      <c r="AI91" s="229"/>
      <c r="AJ91" s="229"/>
      <c r="AK91" s="229"/>
      <c r="AL91" s="229"/>
      <c r="AM91" s="229"/>
      <c r="AN91" s="229"/>
      <c r="AO91" s="229"/>
      <c r="AP91" s="229"/>
      <c r="AQ91" s="229"/>
      <c r="AR91" s="229"/>
      <c r="AS91" s="229"/>
      <c r="AT91" s="229"/>
      <c r="AU91" s="229"/>
      <c r="AV91" s="229"/>
      <c r="AW91" s="229"/>
      <c r="AX91" s="229"/>
      <c r="AY91" s="229"/>
      <c r="AZ91" s="229"/>
      <c r="BA91" s="229"/>
      <c r="BB91" s="229"/>
      <c r="BC91" s="229"/>
      <c r="BD91" s="229"/>
      <c r="BE91" s="229"/>
      <c r="BF91" s="229"/>
      <c r="BG91" s="229"/>
      <c r="BH91" s="229"/>
      <c r="BI91" s="229"/>
      <c r="BJ91" s="229"/>
      <c r="BK91" s="229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  <c r="BY91" s="305"/>
      <c r="BZ91" s="229"/>
      <c r="CA91" s="229"/>
    </row>
    <row r="92" spans="2:79" hidden="1">
      <c r="B92" s="229"/>
      <c r="C92" s="229"/>
      <c r="D92" s="229"/>
      <c r="E92" s="229"/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  <c r="AJ92" s="229"/>
      <c r="AK92" s="229"/>
      <c r="AL92" s="229"/>
      <c r="AM92" s="229"/>
      <c r="AN92" s="229"/>
      <c r="AO92" s="229"/>
      <c r="AP92" s="229"/>
      <c r="AQ92" s="229"/>
      <c r="AR92" s="229"/>
      <c r="AS92" s="229"/>
      <c r="AT92" s="229"/>
      <c r="AU92" s="229"/>
      <c r="AV92" s="229"/>
      <c r="AW92" s="229"/>
      <c r="AX92" s="229"/>
      <c r="AY92" s="229"/>
      <c r="AZ92" s="229"/>
      <c r="BA92" s="229"/>
      <c r="BB92" s="229"/>
      <c r="BC92" s="229"/>
      <c r="BD92" s="229"/>
      <c r="BE92" s="229"/>
      <c r="BF92" s="229"/>
      <c r="BG92" s="229"/>
      <c r="BH92" s="229"/>
      <c r="BI92" s="229"/>
      <c r="BJ92" s="229"/>
      <c r="BK92" s="229"/>
      <c r="BL92" s="229"/>
      <c r="BM92" s="229"/>
      <c r="BN92" s="229"/>
      <c r="BO92" s="229"/>
      <c r="BP92" s="229"/>
      <c r="BQ92" s="229"/>
      <c r="BR92" s="229"/>
      <c r="BS92" s="229"/>
      <c r="BT92" s="229"/>
      <c r="BU92" s="229"/>
      <c r="BV92" s="229"/>
      <c r="BW92" s="229"/>
      <c r="BX92" s="229"/>
      <c r="BY92" s="305"/>
      <c r="BZ92" s="229"/>
      <c r="CA92" s="229"/>
    </row>
    <row r="93" spans="2:79" ht="17.100000000000001" hidden="1">
      <c r="B93" s="229"/>
      <c r="C93" s="308" t="s">
        <v>262</v>
      </c>
      <c r="D93" s="573"/>
      <c r="E93" s="567"/>
      <c r="F93" s="567"/>
      <c r="G93" s="567"/>
      <c r="H93" s="567"/>
      <c r="I93" s="567"/>
      <c r="J93" s="567"/>
      <c r="K93" s="567"/>
      <c r="L93" s="567"/>
      <c r="M93" s="567"/>
      <c r="N93" s="567"/>
      <c r="O93" s="567"/>
      <c r="P93" s="567"/>
      <c r="Q93" s="567"/>
      <c r="R93" s="567"/>
      <c r="S93" s="567"/>
      <c r="T93" s="567"/>
      <c r="U93" s="567"/>
      <c r="V93" s="567"/>
      <c r="W93" s="567"/>
      <c r="X93" s="567"/>
      <c r="Y93" s="567"/>
      <c r="Z93" s="567"/>
      <c r="AA93" s="567"/>
      <c r="AB93" s="567"/>
      <c r="AC93" s="567"/>
      <c r="AD93" s="567"/>
      <c r="AE93" s="567"/>
      <c r="AF93" s="567"/>
      <c r="AG93" s="567"/>
      <c r="AH93" s="567"/>
      <c r="AI93" s="567"/>
      <c r="AJ93" s="567"/>
      <c r="AK93" s="567"/>
      <c r="AL93" s="567"/>
      <c r="AM93" s="567"/>
      <c r="AN93" s="567"/>
      <c r="AO93" s="567"/>
      <c r="AP93" s="567"/>
      <c r="AQ93" s="567"/>
      <c r="AR93" s="567"/>
      <c r="AS93" s="567"/>
      <c r="AT93" s="567"/>
      <c r="AU93" s="567"/>
      <c r="AV93" s="567"/>
      <c r="AW93" s="567"/>
      <c r="AX93" s="567"/>
      <c r="AY93" s="567"/>
      <c r="AZ93" s="567"/>
      <c r="BA93" s="567"/>
      <c r="BB93" s="567"/>
      <c r="BC93" s="567"/>
      <c r="BD93" s="567"/>
      <c r="BE93" s="567"/>
      <c r="BF93" s="567"/>
      <c r="BG93" s="567"/>
      <c r="BH93" s="567"/>
      <c r="BI93" s="567"/>
      <c r="BJ93" s="567"/>
      <c r="BK93" s="567"/>
      <c r="BL93" s="567"/>
      <c r="BM93" s="567"/>
      <c r="BN93" s="567"/>
      <c r="BO93" s="567"/>
      <c r="BP93" s="567"/>
      <c r="BQ93" s="567"/>
      <c r="BR93" s="567"/>
      <c r="BS93" s="567"/>
      <c r="BT93" s="567"/>
      <c r="BU93" s="567"/>
      <c r="BV93" s="567"/>
      <c r="BW93" s="568"/>
      <c r="BX93" s="313">
        <f>BX84*C94</f>
        <v>5499949.3261759616</v>
      </c>
      <c r="BY93" s="305"/>
      <c r="BZ93" s="229"/>
      <c r="CA93" s="229"/>
    </row>
    <row r="94" spans="2:79" ht="18.95" hidden="1">
      <c r="B94" s="229"/>
      <c r="C94" s="314">
        <v>0.2</v>
      </c>
      <c r="D94" s="229"/>
      <c r="E94" s="229"/>
      <c r="F94" s="229"/>
      <c r="G94" s="229"/>
      <c r="H94" s="229"/>
      <c r="I94" s="229"/>
      <c r="J94" s="229"/>
      <c r="K94" s="229"/>
      <c r="L94" s="229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229"/>
      <c r="X94" s="229"/>
      <c r="Y94" s="229"/>
      <c r="Z94" s="229"/>
      <c r="AA94" s="229"/>
      <c r="AB94" s="229"/>
      <c r="AC94" s="229"/>
      <c r="AD94" s="229"/>
      <c r="AE94" s="229"/>
      <c r="AF94" s="229"/>
      <c r="AG94" s="229"/>
      <c r="AH94" s="229"/>
      <c r="AI94" s="229"/>
      <c r="AJ94" s="229"/>
      <c r="AK94" s="229"/>
      <c r="AL94" s="229"/>
      <c r="AM94" s="229"/>
      <c r="AN94" s="229"/>
      <c r="AO94" s="229"/>
      <c r="AP94" s="229"/>
      <c r="AQ94" s="229"/>
      <c r="AR94" s="229"/>
      <c r="AS94" s="229"/>
      <c r="AT94" s="229"/>
      <c r="AU94" s="229"/>
      <c r="AV94" s="229"/>
      <c r="AW94" s="229"/>
      <c r="AX94" s="229"/>
      <c r="AY94" s="229"/>
      <c r="AZ94" s="229"/>
      <c r="BA94" s="229"/>
      <c r="BB94" s="229"/>
      <c r="BC94" s="229"/>
      <c r="BD94" s="229"/>
      <c r="BE94" s="229"/>
      <c r="BF94" s="229"/>
      <c r="BG94" s="229"/>
      <c r="BH94" s="229"/>
      <c r="BI94" s="229"/>
      <c r="BJ94" s="229"/>
      <c r="BK94" s="229"/>
      <c r="BL94" s="229"/>
      <c r="BM94" s="229"/>
      <c r="BN94" s="229"/>
      <c r="BO94" s="229"/>
      <c r="BP94" s="229"/>
      <c r="BQ94" s="229"/>
      <c r="BR94" s="229"/>
      <c r="BS94" s="229"/>
      <c r="BT94" s="229"/>
      <c r="BU94" s="229"/>
      <c r="BV94" s="229"/>
      <c r="BW94" s="229"/>
      <c r="BX94" s="229"/>
      <c r="BY94" s="305"/>
      <c r="BZ94" s="229"/>
      <c r="CA94" s="229"/>
    </row>
    <row r="97" spans="3:76">
      <c r="C97" s="308" t="s">
        <v>263</v>
      </c>
      <c r="D97" s="309"/>
      <c r="E97" s="310">
        <f t="shared" ref="E97:BX97" si="46">-(E5+E74)</f>
        <v>0</v>
      </c>
      <c r="F97" s="310">
        <f t="shared" si="46"/>
        <v>0</v>
      </c>
      <c r="G97" s="310">
        <f t="shared" si="46"/>
        <v>0</v>
      </c>
      <c r="H97" s="310">
        <f t="shared" si="46"/>
        <v>0</v>
      </c>
      <c r="I97" s="310">
        <f t="shared" si="46"/>
        <v>-87324</v>
      </c>
      <c r="J97" s="310">
        <f t="shared" si="46"/>
        <v>-100000</v>
      </c>
      <c r="K97" s="310">
        <f t="shared" si="46"/>
        <v>3400000</v>
      </c>
      <c r="L97" s="310">
        <f t="shared" si="46"/>
        <v>-5024500</v>
      </c>
      <c r="M97" s="310">
        <f t="shared" si="46"/>
        <v>-1000</v>
      </c>
      <c r="N97" s="310">
        <f t="shared" si="46"/>
        <v>-80000</v>
      </c>
      <c r="O97" s="310">
        <f t="shared" si="46"/>
        <v>0</v>
      </c>
      <c r="P97" s="310">
        <f t="shared" si="46"/>
        <v>-1050000</v>
      </c>
      <c r="Q97" s="310">
        <f t="shared" si="46"/>
        <v>0</v>
      </c>
      <c r="R97" s="310">
        <f t="shared" si="46"/>
        <v>0</v>
      </c>
      <c r="S97" s="310">
        <f t="shared" si="46"/>
        <v>-280000</v>
      </c>
      <c r="T97" s="310">
        <f t="shared" si="46"/>
        <v>0</v>
      </c>
      <c r="U97" s="310">
        <f t="shared" si="46"/>
        <v>-1300000</v>
      </c>
      <c r="V97" s="310">
        <f t="shared" si="46"/>
        <v>0</v>
      </c>
      <c r="W97" s="310">
        <f t="shared" si="46"/>
        <v>0</v>
      </c>
      <c r="X97" s="310">
        <f t="shared" si="46"/>
        <v>0</v>
      </c>
      <c r="Y97" s="310">
        <f t="shared" si="46"/>
        <v>-500000</v>
      </c>
      <c r="Z97" s="310">
        <f t="shared" si="46"/>
        <v>-3500000</v>
      </c>
      <c r="AA97" s="310">
        <f t="shared" si="46"/>
        <v>-4000000</v>
      </c>
      <c r="AB97" s="310">
        <f t="shared" si="46"/>
        <v>-3500000</v>
      </c>
      <c r="AC97" s="310">
        <f t="shared" si="46"/>
        <v>0</v>
      </c>
      <c r="AD97" s="310">
        <f t="shared" si="46"/>
        <v>0</v>
      </c>
      <c r="AE97" s="310">
        <f t="shared" si="46"/>
        <v>0</v>
      </c>
      <c r="AF97" s="310">
        <f t="shared" si="46"/>
        <v>0</v>
      </c>
      <c r="AG97" s="310">
        <f t="shared" si="46"/>
        <v>0</v>
      </c>
      <c r="AH97" s="310">
        <f t="shared" si="46"/>
        <v>0</v>
      </c>
      <c r="AI97" s="310">
        <f t="shared" si="46"/>
        <v>16022824</v>
      </c>
      <c r="AJ97" s="310">
        <f t="shared" si="46"/>
        <v>0</v>
      </c>
      <c r="AK97" s="310">
        <f t="shared" si="46"/>
        <v>0</v>
      </c>
      <c r="AL97" s="310">
        <f t="shared" si="46"/>
        <v>0</v>
      </c>
      <c r="AM97" s="310">
        <f t="shared" si="46"/>
        <v>0</v>
      </c>
      <c r="AN97" s="310">
        <f t="shared" si="46"/>
        <v>0</v>
      </c>
      <c r="AO97" s="310">
        <f t="shared" si="46"/>
        <v>0</v>
      </c>
      <c r="AP97" s="310">
        <f t="shared" si="46"/>
        <v>0</v>
      </c>
      <c r="AQ97" s="310">
        <f t="shared" si="46"/>
        <v>0</v>
      </c>
      <c r="AR97" s="310">
        <f t="shared" si="46"/>
        <v>0</v>
      </c>
      <c r="AS97" s="310">
        <f t="shared" si="46"/>
        <v>0</v>
      </c>
      <c r="AT97" s="310">
        <f t="shared" si="46"/>
        <v>0</v>
      </c>
      <c r="AU97" s="310">
        <f t="shared" si="46"/>
        <v>0</v>
      </c>
      <c r="AV97" s="310">
        <f t="shared" si="46"/>
        <v>0</v>
      </c>
      <c r="AW97" s="310">
        <f t="shared" si="46"/>
        <v>0</v>
      </c>
      <c r="AX97" s="310">
        <f t="shared" si="46"/>
        <v>0</v>
      </c>
      <c r="AY97" s="310">
        <f t="shared" si="46"/>
        <v>0</v>
      </c>
      <c r="AZ97" s="310">
        <f t="shared" si="46"/>
        <v>0</v>
      </c>
      <c r="BA97" s="310">
        <f t="shared" si="46"/>
        <v>0</v>
      </c>
      <c r="BB97" s="310">
        <f t="shared" si="46"/>
        <v>0</v>
      </c>
      <c r="BC97" s="310">
        <f t="shared" si="46"/>
        <v>0</v>
      </c>
      <c r="BD97" s="310">
        <f t="shared" si="46"/>
        <v>0</v>
      </c>
      <c r="BE97" s="310">
        <f t="shared" si="46"/>
        <v>0</v>
      </c>
      <c r="BF97" s="310">
        <f t="shared" si="46"/>
        <v>0</v>
      </c>
      <c r="BG97" s="310">
        <f t="shared" si="46"/>
        <v>0</v>
      </c>
      <c r="BH97" s="310">
        <f t="shared" si="46"/>
        <v>0</v>
      </c>
      <c r="BI97" s="310">
        <f t="shared" si="46"/>
        <v>0</v>
      </c>
      <c r="BJ97" s="310">
        <f t="shared" si="46"/>
        <v>0</v>
      </c>
      <c r="BK97" s="310">
        <f t="shared" si="46"/>
        <v>0</v>
      </c>
      <c r="BL97" s="310">
        <f t="shared" si="46"/>
        <v>0</v>
      </c>
      <c r="BM97" s="310">
        <f t="shared" si="46"/>
        <v>0</v>
      </c>
      <c r="BN97" s="310">
        <f t="shared" si="46"/>
        <v>0</v>
      </c>
      <c r="BO97" s="310">
        <f t="shared" si="46"/>
        <v>0</v>
      </c>
      <c r="BP97" s="310">
        <f t="shared" si="46"/>
        <v>0</v>
      </c>
      <c r="BQ97" s="310">
        <f t="shared" si="46"/>
        <v>0</v>
      </c>
      <c r="BR97" s="310">
        <f t="shared" si="46"/>
        <v>0</v>
      </c>
      <c r="BS97" s="310">
        <f t="shared" si="46"/>
        <v>0</v>
      </c>
      <c r="BT97" s="310">
        <f t="shared" si="46"/>
        <v>0</v>
      </c>
      <c r="BU97" s="310">
        <f t="shared" si="46"/>
        <v>0</v>
      </c>
      <c r="BV97" s="310">
        <f t="shared" si="46"/>
        <v>0</v>
      </c>
      <c r="BW97" s="310">
        <f t="shared" si="46"/>
        <v>0</v>
      </c>
      <c r="BX97" s="310">
        <f t="shared" si="46"/>
        <v>0</v>
      </c>
    </row>
    <row r="98" spans="3:76">
      <c r="C98" s="308" t="s">
        <v>264</v>
      </c>
      <c r="D98" s="317"/>
      <c r="E98" s="309"/>
      <c r="F98" s="309"/>
      <c r="G98" s="309"/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309"/>
      <c r="AA98" s="309"/>
      <c r="AB98" s="309"/>
      <c r="AC98" s="309"/>
      <c r="AD98" s="309"/>
      <c r="AE98" s="309"/>
      <c r="AF98" s="309"/>
      <c r="AG98" s="309"/>
      <c r="AH98" s="309"/>
      <c r="AI98" s="309"/>
      <c r="AJ98" s="309"/>
      <c r="AK98" s="309"/>
      <c r="AL98" s="309"/>
      <c r="AM98" s="309"/>
      <c r="AN98" s="309"/>
      <c r="AO98" s="309"/>
      <c r="AP98" s="309"/>
      <c r="AQ98" s="309"/>
      <c r="AR98" s="309"/>
      <c r="AS98" s="309"/>
      <c r="AT98" s="309"/>
      <c r="AU98" s="309"/>
      <c r="AV98" s="309"/>
      <c r="AW98" s="309"/>
      <c r="AX98" s="309"/>
      <c r="AY98" s="309"/>
      <c r="AZ98" s="309"/>
      <c r="BA98" s="309"/>
      <c r="BB98" s="309"/>
      <c r="BC98" s="309"/>
      <c r="BD98" s="309"/>
      <c r="BE98" s="309"/>
      <c r="BF98" s="309"/>
      <c r="BG98" s="309"/>
      <c r="BH98" s="309"/>
      <c r="BI98" s="309"/>
      <c r="BJ98" s="309"/>
      <c r="BK98" s="309"/>
      <c r="BL98" s="309"/>
      <c r="BM98" s="309"/>
      <c r="BN98" s="309"/>
      <c r="BO98" s="309"/>
      <c r="BP98" s="309"/>
      <c r="BQ98" s="309"/>
      <c r="BR98" s="309"/>
      <c r="BS98" s="309"/>
      <c r="BT98" s="309"/>
      <c r="BU98" s="309"/>
      <c r="BV98" s="309"/>
      <c r="BW98" s="309"/>
      <c r="BX98" s="309"/>
    </row>
    <row r="99" spans="3:76">
      <c r="C99" s="308" t="s">
        <v>265</v>
      </c>
      <c r="D99" s="317"/>
      <c r="E99" s="309">
        <f t="shared" ref="E99:BX99" si="47">-E55</f>
        <v>0</v>
      </c>
      <c r="F99" s="309">
        <f t="shared" si="47"/>
        <v>0</v>
      </c>
      <c r="G99" s="309">
        <f t="shared" si="47"/>
        <v>0</v>
      </c>
      <c r="H99" s="309">
        <f t="shared" si="47"/>
        <v>0</v>
      </c>
      <c r="I99" s="309">
        <f t="shared" si="47"/>
        <v>0</v>
      </c>
      <c r="J99" s="309">
        <f t="shared" si="47"/>
        <v>0</v>
      </c>
      <c r="K99" s="309">
        <f t="shared" si="47"/>
        <v>0</v>
      </c>
      <c r="L99" s="309">
        <f t="shared" si="47"/>
        <v>0</v>
      </c>
      <c r="M99" s="309">
        <f t="shared" si="47"/>
        <v>0</v>
      </c>
      <c r="N99" s="309">
        <f t="shared" si="47"/>
        <v>0</v>
      </c>
      <c r="O99" s="309">
        <f t="shared" si="47"/>
        <v>0</v>
      </c>
      <c r="P99" s="309">
        <f t="shared" si="47"/>
        <v>0</v>
      </c>
      <c r="Q99" s="309">
        <f t="shared" si="47"/>
        <v>0</v>
      </c>
      <c r="R99" s="309">
        <f t="shared" si="47"/>
        <v>0</v>
      </c>
      <c r="S99" s="309">
        <f t="shared" si="47"/>
        <v>0</v>
      </c>
      <c r="T99" s="309">
        <f t="shared" si="47"/>
        <v>0</v>
      </c>
      <c r="U99" s="309">
        <f t="shared" si="47"/>
        <v>0</v>
      </c>
      <c r="V99" s="309">
        <f t="shared" si="47"/>
        <v>0</v>
      </c>
      <c r="W99" s="309">
        <f t="shared" si="47"/>
        <v>0</v>
      </c>
      <c r="X99" s="309">
        <f t="shared" si="47"/>
        <v>0</v>
      </c>
      <c r="Y99" s="309">
        <f t="shared" si="47"/>
        <v>0</v>
      </c>
      <c r="Z99" s="309">
        <f t="shared" si="47"/>
        <v>0</v>
      </c>
      <c r="AA99" s="309">
        <f t="shared" si="47"/>
        <v>0</v>
      </c>
      <c r="AB99" s="309">
        <f t="shared" si="47"/>
        <v>0</v>
      </c>
      <c r="AC99" s="309">
        <f t="shared" si="47"/>
        <v>0</v>
      </c>
      <c r="AD99" s="309">
        <f t="shared" si="47"/>
        <v>0</v>
      </c>
      <c r="AE99" s="309">
        <f t="shared" si="47"/>
        <v>0</v>
      </c>
      <c r="AF99" s="309">
        <f t="shared" si="47"/>
        <v>0</v>
      </c>
      <c r="AG99" s="309">
        <f t="shared" si="47"/>
        <v>0</v>
      </c>
      <c r="AH99" s="309">
        <f t="shared" si="47"/>
        <v>0</v>
      </c>
      <c r="AI99" s="309">
        <f t="shared" si="47"/>
        <v>1760813.5233333337</v>
      </c>
      <c r="AJ99" s="309">
        <f t="shared" si="47"/>
        <v>0</v>
      </c>
      <c r="AK99" s="309">
        <f t="shared" si="47"/>
        <v>0</v>
      </c>
      <c r="AL99" s="309">
        <f t="shared" si="47"/>
        <v>0</v>
      </c>
      <c r="AM99" s="309">
        <f t="shared" si="47"/>
        <v>0</v>
      </c>
      <c r="AN99" s="309">
        <f t="shared" si="47"/>
        <v>0</v>
      </c>
      <c r="AO99" s="309">
        <f t="shared" si="47"/>
        <v>0</v>
      </c>
      <c r="AP99" s="309">
        <f t="shared" si="47"/>
        <v>0</v>
      </c>
      <c r="AQ99" s="309">
        <f t="shared" si="47"/>
        <v>0</v>
      </c>
      <c r="AR99" s="309">
        <f t="shared" si="47"/>
        <v>0</v>
      </c>
      <c r="AS99" s="309">
        <f t="shared" si="47"/>
        <v>0</v>
      </c>
      <c r="AT99" s="309">
        <f t="shared" si="47"/>
        <v>0</v>
      </c>
      <c r="AU99" s="309">
        <f t="shared" si="47"/>
        <v>0</v>
      </c>
      <c r="AV99" s="309">
        <f t="shared" si="47"/>
        <v>0</v>
      </c>
      <c r="AW99" s="309">
        <f t="shared" si="47"/>
        <v>0</v>
      </c>
      <c r="AX99" s="309">
        <f t="shared" si="47"/>
        <v>0</v>
      </c>
      <c r="AY99" s="309">
        <f t="shared" si="47"/>
        <v>0</v>
      </c>
      <c r="AZ99" s="309">
        <f t="shared" si="47"/>
        <v>0</v>
      </c>
      <c r="BA99" s="309">
        <f t="shared" si="47"/>
        <v>0</v>
      </c>
      <c r="BB99" s="309">
        <f t="shared" si="47"/>
        <v>0</v>
      </c>
      <c r="BC99" s="309">
        <f t="shared" si="47"/>
        <v>0</v>
      </c>
      <c r="BD99" s="309">
        <f t="shared" si="47"/>
        <v>0</v>
      </c>
      <c r="BE99" s="309">
        <f t="shared" si="47"/>
        <v>0</v>
      </c>
      <c r="BF99" s="309">
        <f t="shared" si="47"/>
        <v>0</v>
      </c>
      <c r="BG99" s="309">
        <f t="shared" si="47"/>
        <v>0</v>
      </c>
      <c r="BH99" s="309">
        <f t="shared" si="47"/>
        <v>0</v>
      </c>
      <c r="BI99" s="309">
        <f t="shared" si="47"/>
        <v>0</v>
      </c>
      <c r="BJ99" s="309">
        <f t="shared" si="47"/>
        <v>0</v>
      </c>
      <c r="BK99" s="309">
        <f t="shared" si="47"/>
        <v>0</v>
      </c>
      <c r="BL99" s="309">
        <f t="shared" si="47"/>
        <v>0</v>
      </c>
      <c r="BM99" s="309">
        <f t="shared" si="47"/>
        <v>0</v>
      </c>
      <c r="BN99" s="309">
        <f t="shared" si="47"/>
        <v>0</v>
      </c>
      <c r="BO99" s="309">
        <f t="shared" si="47"/>
        <v>0</v>
      </c>
      <c r="BP99" s="309">
        <f t="shared" si="47"/>
        <v>0</v>
      </c>
      <c r="BQ99" s="309">
        <f t="shared" si="47"/>
        <v>0</v>
      </c>
      <c r="BR99" s="309">
        <f t="shared" si="47"/>
        <v>0</v>
      </c>
      <c r="BS99" s="309">
        <f t="shared" si="47"/>
        <v>0</v>
      </c>
      <c r="BT99" s="309">
        <f t="shared" si="47"/>
        <v>0</v>
      </c>
      <c r="BU99" s="309">
        <f t="shared" si="47"/>
        <v>0</v>
      </c>
      <c r="BV99" s="309">
        <f t="shared" si="47"/>
        <v>0</v>
      </c>
      <c r="BW99" s="309">
        <f t="shared" si="47"/>
        <v>0</v>
      </c>
      <c r="BX99" s="309">
        <f t="shared" si="47"/>
        <v>0</v>
      </c>
    </row>
    <row r="100" spans="3:76">
      <c r="C100" s="308" t="s">
        <v>266</v>
      </c>
      <c r="D100" s="317"/>
      <c r="E100" s="309"/>
      <c r="F100" s="309"/>
      <c r="G100" s="309"/>
      <c r="H100" s="309"/>
      <c r="I100" s="309"/>
      <c r="J100" s="309"/>
      <c r="K100" s="309"/>
      <c r="L100" s="309"/>
      <c r="M100" s="309"/>
      <c r="N100" s="309"/>
      <c r="O100" s="309"/>
      <c r="P100" s="309"/>
      <c r="Q100" s="309"/>
      <c r="R100" s="309"/>
      <c r="S100" s="309"/>
      <c r="T100" s="309"/>
      <c r="U100" s="309"/>
      <c r="V100" s="309"/>
      <c r="W100" s="309"/>
      <c r="X100" s="309"/>
      <c r="Y100" s="309"/>
      <c r="Z100" s="309"/>
      <c r="AA100" s="309"/>
      <c r="AB100" s="309"/>
      <c r="AC100" s="309"/>
      <c r="AD100" s="309"/>
      <c r="AE100" s="309"/>
      <c r="AF100" s="309"/>
      <c r="AG100" s="309"/>
      <c r="AH100" s="309"/>
      <c r="AI100" s="309">
        <f>AI84*D102</f>
        <v>5499949.3261759616</v>
      </c>
      <c r="AJ100" s="309"/>
      <c r="AK100" s="309"/>
      <c r="AL100" s="309"/>
      <c r="AM100" s="309"/>
      <c r="AN100" s="309"/>
      <c r="AO100" s="309"/>
      <c r="AP100" s="309"/>
      <c r="AQ100" s="309"/>
      <c r="AR100" s="309"/>
      <c r="AS100" s="309"/>
      <c r="AT100" s="309"/>
      <c r="AU100" s="309"/>
      <c r="AV100" s="309"/>
      <c r="AW100" s="309"/>
      <c r="AX100" s="309"/>
      <c r="AY100" s="309"/>
      <c r="AZ100" s="309"/>
      <c r="BA100" s="309"/>
      <c r="BB100" s="309"/>
      <c r="BC100" s="309"/>
      <c r="BD100" s="309"/>
      <c r="BE100" s="309"/>
      <c r="BF100" s="309"/>
      <c r="BG100" s="309"/>
      <c r="BH100" s="309"/>
      <c r="BI100" s="309"/>
      <c r="BJ100" s="309"/>
      <c r="BK100" s="309"/>
      <c r="BL100" s="309"/>
      <c r="BM100" s="309"/>
      <c r="BN100" s="309"/>
      <c r="BO100" s="309"/>
      <c r="BP100" s="309"/>
      <c r="BQ100" s="309"/>
      <c r="BR100" s="309"/>
      <c r="BS100" s="309"/>
      <c r="BT100" s="309"/>
      <c r="BU100" s="309"/>
      <c r="BV100" s="309"/>
      <c r="BW100" s="309"/>
      <c r="BX100" s="309">
        <f>IF(D90&gt;0.25,(BX84-BX93)*D102,BX84*D102)</f>
        <v>4399959.4609407689</v>
      </c>
    </row>
    <row r="101" spans="3:76">
      <c r="C101" s="308" t="s">
        <v>262</v>
      </c>
      <c r="D101" s="317"/>
      <c r="E101" s="309"/>
      <c r="F101" s="309"/>
      <c r="G101" s="309"/>
      <c r="H101" s="309"/>
      <c r="I101" s="309"/>
      <c r="J101" s="309"/>
      <c r="K101" s="309"/>
      <c r="L101" s="309"/>
      <c r="M101" s="309"/>
      <c r="N101" s="309"/>
      <c r="O101" s="309"/>
      <c r="P101" s="309"/>
      <c r="Q101" s="309"/>
      <c r="R101" s="309"/>
      <c r="S101" s="309"/>
      <c r="T101" s="309"/>
      <c r="U101" s="309"/>
      <c r="V101" s="309"/>
      <c r="W101" s="309"/>
      <c r="X101" s="309"/>
      <c r="Y101" s="309"/>
      <c r="Z101" s="309"/>
      <c r="AA101" s="309"/>
      <c r="AB101" s="309"/>
      <c r="AC101" s="309"/>
      <c r="AD101" s="309"/>
      <c r="AE101" s="309"/>
      <c r="AF101" s="309"/>
      <c r="AG101" s="309"/>
      <c r="AH101" s="309"/>
      <c r="AI101" s="309"/>
      <c r="AJ101" s="309"/>
      <c r="AK101" s="309"/>
      <c r="AL101" s="309"/>
      <c r="AM101" s="309"/>
      <c r="AN101" s="309"/>
      <c r="AO101" s="309"/>
      <c r="AP101" s="309"/>
      <c r="AQ101" s="309"/>
      <c r="AR101" s="309"/>
      <c r="AS101" s="309"/>
      <c r="AT101" s="309"/>
      <c r="AU101" s="309"/>
      <c r="AV101" s="309"/>
      <c r="AW101" s="309"/>
      <c r="AX101" s="309"/>
      <c r="AY101" s="309"/>
      <c r="AZ101" s="309"/>
      <c r="BA101" s="309"/>
      <c r="BB101" s="309"/>
      <c r="BC101" s="309"/>
      <c r="BD101" s="309"/>
      <c r="BE101" s="309"/>
      <c r="BF101" s="309"/>
      <c r="BG101" s="309"/>
      <c r="BH101" s="309"/>
      <c r="BI101" s="309"/>
      <c r="BJ101" s="309"/>
      <c r="BK101" s="309"/>
      <c r="BL101" s="309"/>
      <c r="BM101" s="309"/>
      <c r="BN101" s="309"/>
      <c r="BO101" s="309"/>
      <c r="BP101" s="309"/>
      <c r="BQ101" s="309"/>
      <c r="BR101" s="309"/>
      <c r="BS101" s="309"/>
      <c r="BT101" s="309"/>
      <c r="BU101" s="309"/>
      <c r="BV101" s="309"/>
      <c r="BW101" s="309"/>
      <c r="BX101" s="309">
        <f>IF(D90&gt;0.25,BX93,0)</f>
        <v>5499949.3261759616</v>
      </c>
    </row>
    <row r="102" spans="3:76">
      <c r="C102" s="311" t="s">
        <v>267</v>
      </c>
      <c r="D102" s="317">
        <v>0.2</v>
      </c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  <c r="S102" s="250"/>
      <c r="T102" s="250"/>
      <c r="U102" s="250"/>
      <c r="V102" s="250"/>
      <c r="W102" s="250"/>
      <c r="X102" s="250"/>
      <c r="Y102" s="250"/>
      <c r="Z102" s="250"/>
      <c r="AA102" s="250"/>
      <c r="AB102" s="250"/>
      <c r="AC102" s="250"/>
      <c r="AD102" s="250"/>
      <c r="AE102" s="250"/>
      <c r="AF102" s="250"/>
      <c r="AG102" s="250"/>
      <c r="AH102" s="250"/>
      <c r="AI102" s="250"/>
      <c r="AJ102" s="250"/>
      <c r="AK102" s="250"/>
      <c r="AL102" s="250"/>
      <c r="AM102" s="250"/>
      <c r="AN102" s="250"/>
      <c r="AO102" s="250"/>
      <c r="AP102" s="250"/>
      <c r="AQ102" s="250"/>
      <c r="AR102" s="250"/>
      <c r="AS102" s="250"/>
      <c r="AT102" s="250"/>
      <c r="AU102" s="250"/>
      <c r="AV102" s="250"/>
      <c r="AW102" s="250"/>
      <c r="AX102" s="250"/>
      <c r="AY102" s="250"/>
      <c r="AZ102" s="250"/>
      <c r="BA102" s="250"/>
      <c r="BB102" s="250"/>
      <c r="BC102" s="318"/>
      <c r="BD102" s="250"/>
      <c r="BE102" s="250"/>
      <c r="BF102" s="250"/>
      <c r="BG102" s="250"/>
      <c r="BH102" s="250"/>
      <c r="BI102" s="250"/>
      <c r="BJ102" s="250"/>
      <c r="BK102" s="250"/>
      <c r="BL102" s="250"/>
      <c r="BM102" s="250"/>
      <c r="BN102" s="250"/>
      <c r="BO102" s="250"/>
      <c r="BP102" s="250"/>
      <c r="BQ102" s="250"/>
      <c r="BR102" s="250"/>
      <c r="BS102" s="250"/>
      <c r="BT102" s="250"/>
      <c r="BU102" s="250"/>
      <c r="BV102" s="250"/>
      <c r="BW102" s="250"/>
      <c r="BX102" s="250"/>
    </row>
    <row r="103" spans="3:76">
      <c r="C103" s="308" t="s">
        <v>268</v>
      </c>
      <c r="D103" s="312"/>
      <c r="E103" s="319">
        <f t="shared" ref="E103:BW103" si="48">E97+E98+E99+E100+E102</f>
        <v>0</v>
      </c>
      <c r="F103" s="319">
        <f t="shared" si="48"/>
        <v>0</v>
      </c>
      <c r="G103" s="319">
        <f t="shared" si="48"/>
        <v>0</v>
      </c>
      <c r="H103" s="319">
        <f t="shared" si="48"/>
        <v>0</v>
      </c>
      <c r="I103" s="319">
        <f t="shared" si="48"/>
        <v>-87324</v>
      </c>
      <c r="J103" s="319">
        <f t="shared" si="48"/>
        <v>-100000</v>
      </c>
      <c r="K103" s="319">
        <f t="shared" si="48"/>
        <v>3400000</v>
      </c>
      <c r="L103" s="319">
        <f t="shared" si="48"/>
        <v>-5024500</v>
      </c>
      <c r="M103" s="319">
        <f t="shared" si="48"/>
        <v>-1000</v>
      </c>
      <c r="N103" s="319">
        <f t="shared" si="48"/>
        <v>-80000</v>
      </c>
      <c r="O103" s="319">
        <f t="shared" si="48"/>
        <v>0</v>
      </c>
      <c r="P103" s="319">
        <f t="shared" si="48"/>
        <v>-1050000</v>
      </c>
      <c r="Q103" s="319">
        <f t="shared" si="48"/>
        <v>0</v>
      </c>
      <c r="R103" s="319">
        <f t="shared" si="48"/>
        <v>0</v>
      </c>
      <c r="S103" s="319">
        <f t="shared" si="48"/>
        <v>-280000</v>
      </c>
      <c r="T103" s="319">
        <f t="shared" si="48"/>
        <v>0</v>
      </c>
      <c r="U103" s="319">
        <f t="shared" si="48"/>
        <v>-1300000</v>
      </c>
      <c r="V103" s="319">
        <f t="shared" si="48"/>
        <v>0</v>
      </c>
      <c r="W103" s="319">
        <f t="shared" si="48"/>
        <v>0</v>
      </c>
      <c r="X103" s="319">
        <f t="shared" si="48"/>
        <v>0</v>
      </c>
      <c r="Y103" s="319">
        <f t="shared" si="48"/>
        <v>-500000</v>
      </c>
      <c r="Z103" s="319">
        <f t="shared" si="48"/>
        <v>-3500000</v>
      </c>
      <c r="AA103" s="319">
        <f t="shared" si="48"/>
        <v>-4000000</v>
      </c>
      <c r="AB103" s="319">
        <f t="shared" si="48"/>
        <v>-3500000</v>
      </c>
      <c r="AC103" s="319">
        <f t="shared" si="48"/>
        <v>0</v>
      </c>
      <c r="AD103" s="319">
        <f t="shared" si="48"/>
        <v>0</v>
      </c>
      <c r="AE103" s="319">
        <f t="shared" si="48"/>
        <v>0</v>
      </c>
      <c r="AF103" s="319">
        <f t="shared" si="48"/>
        <v>0</v>
      </c>
      <c r="AG103" s="319">
        <f t="shared" si="48"/>
        <v>0</v>
      </c>
      <c r="AH103" s="319">
        <f t="shared" si="48"/>
        <v>0</v>
      </c>
      <c r="AI103" s="319">
        <f t="shared" si="48"/>
        <v>23283586.849509295</v>
      </c>
      <c r="AJ103" s="319">
        <f t="shared" si="48"/>
        <v>0</v>
      </c>
      <c r="AK103" s="319">
        <f t="shared" si="48"/>
        <v>0</v>
      </c>
      <c r="AL103" s="319">
        <f t="shared" si="48"/>
        <v>0</v>
      </c>
      <c r="AM103" s="319">
        <f t="shared" si="48"/>
        <v>0</v>
      </c>
      <c r="AN103" s="319">
        <f t="shared" si="48"/>
        <v>0</v>
      </c>
      <c r="AO103" s="319">
        <f t="shared" si="48"/>
        <v>0</v>
      </c>
      <c r="AP103" s="319">
        <f t="shared" si="48"/>
        <v>0</v>
      </c>
      <c r="AQ103" s="319">
        <f t="shared" si="48"/>
        <v>0</v>
      </c>
      <c r="AR103" s="319">
        <f t="shared" si="48"/>
        <v>0</v>
      </c>
      <c r="AS103" s="319">
        <f t="shared" si="48"/>
        <v>0</v>
      </c>
      <c r="AT103" s="319">
        <f t="shared" si="48"/>
        <v>0</v>
      </c>
      <c r="AU103" s="319">
        <f t="shared" si="48"/>
        <v>0</v>
      </c>
      <c r="AV103" s="319">
        <f t="shared" si="48"/>
        <v>0</v>
      </c>
      <c r="AW103" s="319">
        <f t="shared" si="48"/>
        <v>0</v>
      </c>
      <c r="AX103" s="319">
        <f t="shared" si="48"/>
        <v>0</v>
      </c>
      <c r="AY103" s="319">
        <f t="shared" si="48"/>
        <v>0</v>
      </c>
      <c r="AZ103" s="319">
        <f t="shared" si="48"/>
        <v>0</v>
      </c>
      <c r="BA103" s="319">
        <f t="shared" si="48"/>
        <v>0</v>
      </c>
      <c r="BB103" s="319">
        <f t="shared" si="48"/>
        <v>0</v>
      </c>
      <c r="BC103" s="319">
        <f t="shared" si="48"/>
        <v>0</v>
      </c>
      <c r="BD103" s="319">
        <f t="shared" si="48"/>
        <v>0</v>
      </c>
      <c r="BE103" s="319">
        <f t="shared" si="48"/>
        <v>0</v>
      </c>
      <c r="BF103" s="319">
        <f t="shared" si="48"/>
        <v>0</v>
      </c>
      <c r="BG103" s="319">
        <f t="shared" si="48"/>
        <v>0</v>
      </c>
      <c r="BH103" s="319">
        <f t="shared" si="48"/>
        <v>0</v>
      </c>
      <c r="BI103" s="319">
        <f t="shared" si="48"/>
        <v>0</v>
      </c>
      <c r="BJ103" s="319">
        <f t="shared" si="48"/>
        <v>0</v>
      </c>
      <c r="BK103" s="319">
        <f t="shared" si="48"/>
        <v>0</v>
      </c>
      <c r="BL103" s="319">
        <f t="shared" si="48"/>
        <v>0</v>
      </c>
      <c r="BM103" s="319">
        <f t="shared" si="48"/>
        <v>0</v>
      </c>
      <c r="BN103" s="319">
        <f t="shared" si="48"/>
        <v>0</v>
      </c>
      <c r="BO103" s="319">
        <f t="shared" si="48"/>
        <v>0</v>
      </c>
      <c r="BP103" s="319">
        <f t="shared" si="48"/>
        <v>0</v>
      </c>
      <c r="BQ103" s="319">
        <f t="shared" si="48"/>
        <v>0</v>
      </c>
      <c r="BR103" s="319">
        <f t="shared" si="48"/>
        <v>0</v>
      </c>
      <c r="BS103" s="319">
        <f t="shared" si="48"/>
        <v>0</v>
      </c>
      <c r="BT103" s="319">
        <f t="shared" si="48"/>
        <v>0</v>
      </c>
      <c r="BU103" s="319">
        <f t="shared" si="48"/>
        <v>0</v>
      </c>
      <c r="BV103" s="319">
        <f t="shared" si="48"/>
        <v>0</v>
      </c>
      <c r="BW103" s="319">
        <f t="shared" si="48"/>
        <v>0</v>
      </c>
      <c r="BX103" s="319">
        <f>BX97+BX98+BX99+BX100+BX101+BX102</f>
        <v>9899908.7871167306</v>
      </c>
    </row>
    <row r="104" spans="3:76">
      <c r="C104" s="308"/>
      <c r="D104" s="320"/>
      <c r="E104" s="321">
        <f>E103</f>
        <v>0</v>
      </c>
      <c r="F104" s="321">
        <f t="shared" ref="F104:BX104" si="49">E104+F103</f>
        <v>0</v>
      </c>
      <c r="G104" s="321">
        <f t="shared" si="49"/>
        <v>0</v>
      </c>
      <c r="H104" s="321">
        <f t="shared" si="49"/>
        <v>0</v>
      </c>
      <c r="I104" s="321">
        <f t="shared" si="49"/>
        <v>-87324</v>
      </c>
      <c r="J104" s="321">
        <f t="shared" si="49"/>
        <v>-187324</v>
      </c>
      <c r="K104" s="321">
        <f t="shared" si="49"/>
        <v>3212676</v>
      </c>
      <c r="L104" s="321">
        <f t="shared" si="49"/>
        <v>-1811824</v>
      </c>
      <c r="M104" s="321">
        <f t="shared" si="49"/>
        <v>-1812824</v>
      </c>
      <c r="N104" s="321">
        <f t="shared" si="49"/>
        <v>-1892824</v>
      </c>
      <c r="O104" s="321">
        <f t="shared" si="49"/>
        <v>-1892824</v>
      </c>
      <c r="P104" s="321">
        <f t="shared" si="49"/>
        <v>-2942824</v>
      </c>
      <c r="Q104" s="321">
        <f t="shared" si="49"/>
        <v>-2942824</v>
      </c>
      <c r="R104" s="321">
        <f t="shared" si="49"/>
        <v>-2942824</v>
      </c>
      <c r="S104" s="321">
        <f t="shared" si="49"/>
        <v>-3222824</v>
      </c>
      <c r="T104" s="321">
        <f t="shared" si="49"/>
        <v>-3222824</v>
      </c>
      <c r="U104" s="321">
        <f t="shared" si="49"/>
        <v>-4522824</v>
      </c>
      <c r="V104" s="321">
        <f t="shared" si="49"/>
        <v>-4522824</v>
      </c>
      <c r="W104" s="321">
        <f t="shared" si="49"/>
        <v>-4522824</v>
      </c>
      <c r="X104" s="321">
        <f t="shared" si="49"/>
        <v>-4522824</v>
      </c>
      <c r="Y104" s="321">
        <f t="shared" si="49"/>
        <v>-5022824</v>
      </c>
      <c r="Z104" s="321">
        <f t="shared" si="49"/>
        <v>-8522824</v>
      </c>
      <c r="AA104" s="321">
        <f t="shared" si="49"/>
        <v>-12522824</v>
      </c>
      <c r="AB104" s="321">
        <f t="shared" si="49"/>
        <v>-16022824</v>
      </c>
      <c r="AC104" s="321">
        <f t="shared" si="49"/>
        <v>-16022824</v>
      </c>
      <c r="AD104" s="321">
        <f t="shared" si="49"/>
        <v>-16022824</v>
      </c>
      <c r="AE104" s="321">
        <f t="shared" si="49"/>
        <v>-16022824</v>
      </c>
      <c r="AF104" s="321">
        <f t="shared" si="49"/>
        <v>-16022824</v>
      </c>
      <c r="AG104" s="321">
        <f t="shared" si="49"/>
        <v>-16022824</v>
      </c>
      <c r="AH104" s="321">
        <f t="shared" si="49"/>
        <v>-16022824</v>
      </c>
      <c r="AI104" s="321">
        <f t="shared" si="49"/>
        <v>7260762.8495092951</v>
      </c>
      <c r="AJ104" s="321">
        <f t="shared" si="49"/>
        <v>7260762.8495092951</v>
      </c>
      <c r="AK104" s="321">
        <f t="shared" si="49"/>
        <v>7260762.8495092951</v>
      </c>
      <c r="AL104" s="321">
        <f t="shared" si="49"/>
        <v>7260762.8495092951</v>
      </c>
      <c r="AM104" s="321">
        <f t="shared" si="49"/>
        <v>7260762.8495092951</v>
      </c>
      <c r="AN104" s="321">
        <f t="shared" si="49"/>
        <v>7260762.8495092951</v>
      </c>
      <c r="AO104" s="321">
        <f t="shared" si="49"/>
        <v>7260762.8495092951</v>
      </c>
      <c r="AP104" s="321">
        <f t="shared" si="49"/>
        <v>7260762.8495092951</v>
      </c>
      <c r="AQ104" s="321">
        <f t="shared" si="49"/>
        <v>7260762.8495092951</v>
      </c>
      <c r="AR104" s="321">
        <f t="shared" si="49"/>
        <v>7260762.8495092951</v>
      </c>
      <c r="AS104" s="321">
        <f t="shared" si="49"/>
        <v>7260762.8495092951</v>
      </c>
      <c r="AT104" s="321">
        <f t="shared" si="49"/>
        <v>7260762.8495092951</v>
      </c>
      <c r="AU104" s="321">
        <f t="shared" si="49"/>
        <v>7260762.8495092951</v>
      </c>
      <c r="AV104" s="321">
        <f t="shared" si="49"/>
        <v>7260762.8495092951</v>
      </c>
      <c r="AW104" s="321">
        <f t="shared" si="49"/>
        <v>7260762.8495092951</v>
      </c>
      <c r="AX104" s="321">
        <f t="shared" si="49"/>
        <v>7260762.8495092951</v>
      </c>
      <c r="AY104" s="321">
        <f t="shared" si="49"/>
        <v>7260762.8495092951</v>
      </c>
      <c r="AZ104" s="321">
        <f t="shared" si="49"/>
        <v>7260762.8495092951</v>
      </c>
      <c r="BA104" s="321">
        <f t="shared" si="49"/>
        <v>7260762.8495092951</v>
      </c>
      <c r="BB104" s="321">
        <f t="shared" si="49"/>
        <v>7260762.8495092951</v>
      </c>
      <c r="BC104" s="321">
        <f t="shared" si="49"/>
        <v>7260762.8495092951</v>
      </c>
      <c r="BD104" s="321">
        <f t="shared" si="49"/>
        <v>7260762.8495092951</v>
      </c>
      <c r="BE104" s="321">
        <f t="shared" si="49"/>
        <v>7260762.8495092951</v>
      </c>
      <c r="BF104" s="321">
        <f t="shared" si="49"/>
        <v>7260762.8495092951</v>
      </c>
      <c r="BG104" s="321">
        <f t="shared" si="49"/>
        <v>7260762.8495092951</v>
      </c>
      <c r="BH104" s="321">
        <f t="shared" si="49"/>
        <v>7260762.8495092951</v>
      </c>
      <c r="BI104" s="321">
        <f t="shared" si="49"/>
        <v>7260762.8495092951</v>
      </c>
      <c r="BJ104" s="321">
        <f t="shared" si="49"/>
        <v>7260762.8495092951</v>
      </c>
      <c r="BK104" s="321">
        <f t="shared" si="49"/>
        <v>7260762.8495092951</v>
      </c>
      <c r="BL104" s="321">
        <f t="shared" si="49"/>
        <v>7260762.8495092951</v>
      </c>
      <c r="BM104" s="321">
        <f t="shared" si="49"/>
        <v>7260762.8495092951</v>
      </c>
      <c r="BN104" s="321">
        <f t="shared" si="49"/>
        <v>7260762.8495092951</v>
      </c>
      <c r="BO104" s="321">
        <f t="shared" si="49"/>
        <v>7260762.8495092951</v>
      </c>
      <c r="BP104" s="321">
        <f t="shared" si="49"/>
        <v>7260762.8495092951</v>
      </c>
      <c r="BQ104" s="321">
        <f t="shared" si="49"/>
        <v>7260762.8495092951</v>
      </c>
      <c r="BR104" s="321">
        <f t="shared" si="49"/>
        <v>7260762.8495092951</v>
      </c>
      <c r="BS104" s="321">
        <f t="shared" si="49"/>
        <v>7260762.8495092951</v>
      </c>
      <c r="BT104" s="321">
        <f t="shared" si="49"/>
        <v>7260762.8495092951</v>
      </c>
      <c r="BU104" s="321">
        <f t="shared" si="49"/>
        <v>7260762.8495092951</v>
      </c>
      <c r="BV104" s="321">
        <f t="shared" si="49"/>
        <v>7260762.8495092951</v>
      </c>
      <c r="BW104" s="321">
        <f t="shared" si="49"/>
        <v>7260762.8495092951</v>
      </c>
      <c r="BX104" s="321">
        <f t="shared" si="49"/>
        <v>17160671.636626028</v>
      </c>
    </row>
    <row r="105" spans="3:76">
      <c r="C105" s="311" t="s">
        <v>261</v>
      </c>
      <c r="D105" s="322">
        <f>IRR(I103:AI103)*12</f>
        <v>43.174012076550852</v>
      </c>
      <c r="E105" s="229"/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229"/>
      <c r="X105" s="229"/>
      <c r="Y105" s="229"/>
      <c r="Z105" s="229"/>
      <c r="AA105" s="229"/>
      <c r="AB105" s="229"/>
      <c r="AC105" s="229"/>
      <c r="AD105" s="229"/>
      <c r="AE105" s="229"/>
      <c r="AF105" s="229"/>
      <c r="AG105" s="229"/>
      <c r="AH105" s="229"/>
      <c r="AI105" s="229"/>
      <c r="AJ105" s="229"/>
      <c r="AK105" s="229"/>
      <c r="AL105" s="229"/>
      <c r="AM105" s="229"/>
      <c r="AN105" s="229"/>
      <c r="AO105" s="229"/>
      <c r="AP105" s="229"/>
      <c r="AQ105" s="229"/>
      <c r="AR105" s="229"/>
      <c r="AS105" s="229"/>
      <c r="AT105" s="229"/>
      <c r="AU105" s="229"/>
      <c r="AV105" s="229"/>
      <c r="AW105" s="229"/>
      <c r="AX105" s="229"/>
      <c r="AY105" s="229"/>
      <c r="AZ105" s="229"/>
      <c r="BA105" s="229"/>
      <c r="BB105" s="229"/>
      <c r="BC105" s="229"/>
      <c r="BD105" s="229"/>
      <c r="BE105" s="229"/>
      <c r="BF105" s="229"/>
      <c r="BG105" s="229"/>
      <c r="BH105" s="229"/>
      <c r="BI105" s="229"/>
      <c r="BJ105" s="229"/>
      <c r="BK105" s="229"/>
      <c r="BL105" s="229"/>
      <c r="BM105" s="229"/>
      <c r="BN105" s="229"/>
      <c r="BO105" s="229"/>
      <c r="BP105" s="229"/>
      <c r="BQ105" s="229"/>
      <c r="BR105" s="229"/>
      <c r="BS105" s="229"/>
      <c r="BT105" s="229"/>
      <c r="BU105" s="229"/>
      <c r="BV105" s="229"/>
      <c r="BW105" s="229"/>
      <c r="BX105" s="229"/>
    </row>
    <row r="106" spans="3:76">
      <c r="C106" s="323" t="s">
        <v>269</v>
      </c>
      <c r="D106" s="324">
        <f>-MIN(E104:BL104)</f>
        <v>16022824</v>
      </c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29"/>
      <c r="AC106" s="229"/>
      <c r="AD106" s="229"/>
      <c r="AE106" s="229"/>
      <c r="AF106" s="229"/>
      <c r="AG106" s="229"/>
      <c r="AH106" s="229"/>
      <c r="AI106" s="229"/>
      <c r="AJ106" s="229"/>
      <c r="AK106" s="229"/>
      <c r="AL106" s="229"/>
      <c r="AM106" s="229"/>
      <c r="AN106" s="229"/>
      <c r="AO106" s="229"/>
      <c r="AP106" s="229"/>
      <c r="AQ106" s="229"/>
      <c r="AR106" s="229"/>
      <c r="AS106" s="229"/>
      <c r="AT106" s="229"/>
      <c r="AU106" s="229"/>
      <c r="AV106" s="229"/>
      <c r="AW106" s="229"/>
      <c r="AX106" s="229"/>
      <c r="AY106" s="229"/>
      <c r="AZ106" s="229"/>
      <c r="BA106" s="229"/>
      <c r="BB106" s="229"/>
      <c r="BC106" s="229"/>
      <c r="BD106" s="229"/>
      <c r="BE106" s="229"/>
      <c r="BF106" s="229"/>
      <c r="BG106" s="229"/>
      <c r="BH106" s="229"/>
      <c r="BI106" s="229"/>
      <c r="BJ106" s="229"/>
      <c r="BK106" s="229"/>
      <c r="BL106" s="229"/>
      <c r="BM106" s="229"/>
      <c r="BN106" s="229"/>
      <c r="BO106" s="229"/>
      <c r="BP106" s="229"/>
      <c r="BQ106" s="229"/>
      <c r="BR106" s="229"/>
      <c r="BS106" s="229"/>
      <c r="BT106" s="229"/>
      <c r="BU106" s="229"/>
      <c r="BV106" s="229"/>
      <c r="BW106" s="229"/>
      <c r="BX106" s="229"/>
    </row>
    <row r="107" spans="3:76">
      <c r="C107" s="311" t="s">
        <v>270</v>
      </c>
      <c r="D107" s="325">
        <f>D106</f>
        <v>16022824</v>
      </c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29"/>
      <c r="AC107" s="229"/>
      <c r="AD107" s="229"/>
      <c r="AE107" s="229"/>
      <c r="AF107" s="229"/>
      <c r="AG107" s="229"/>
      <c r="AH107" s="229"/>
      <c r="AI107" s="229"/>
      <c r="AJ107" s="229"/>
      <c r="AK107" s="229"/>
      <c r="AL107" s="229"/>
      <c r="AM107" s="229"/>
      <c r="AN107" s="229"/>
      <c r="AO107" s="229"/>
      <c r="AP107" s="229"/>
      <c r="AQ107" s="229"/>
      <c r="AR107" s="229"/>
      <c r="AS107" s="229"/>
      <c r="AT107" s="229"/>
      <c r="AU107" s="229"/>
      <c r="AV107" s="229"/>
      <c r="AW107" s="229"/>
      <c r="AX107" s="229"/>
      <c r="AY107" s="229"/>
      <c r="AZ107" s="229"/>
      <c r="BA107" s="229"/>
      <c r="BB107" s="229"/>
      <c r="BC107" s="229"/>
      <c r="BD107" s="229"/>
      <c r="BE107" s="229"/>
      <c r="BF107" s="229"/>
      <c r="BG107" s="229"/>
      <c r="BH107" s="229"/>
      <c r="BI107" s="229"/>
      <c r="BJ107" s="229"/>
      <c r="BK107" s="229"/>
      <c r="BL107" s="229"/>
      <c r="BM107" s="229"/>
      <c r="BN107" s="229"/>
      <c r="BO107" s="229"/>
      <c r="BP107" s="229"/>
      <c r="BQ107" s="229"/>
      <c r="BR107" s="229"/>
      <c r="BS107" s="229"/>
      <c r="BT107" s="229"/>
      <c r="BU107" s="229"/>
      <c r="BV107" s="229"/>
      <c r="BW107" s="229"/>
      <c r="BX107" s="229"/>
    </row>
    <row r="108" spans="3:76">
      <c r="C108" s="311" t="s">
        <v>271</v>
      </c>
      <c r="D108" s="325">
        <f>AI100+AI99</f>
        <v>7260762.8495092951</v>
      </c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29"/>
      <c r="AC108" s="229"/>
      <c r="AD108" s="229"/>
      <c r="AE108" s="229"/>
      <c r="AF108" s="229"/>
      <c r="AG108" s="229"/>
      <c r="AH108" s="229"/>
      <c r="AI108" s="229"/>
      <c r="AJ108" s="229"/>
      <c r="AK108" s="229"/>
      <c r="AL108" s="229"/>
      <c r="AM108" s="229"/>
      <c r="AN108" s="229"/>
      <c r="AO108" s="229"/>
      <c r="AP108" s="229"/>
      <c r="AQ108" s="229"/>
      <c r="AR108" s="229"/>
      <c r="AS108" s="229"/>
      <c r="AT108" s="229"/>
      <c r="AU108" s="229"/>
      <c r="AV108" s="229"/>
      <c r="AW108" s="229"/>
      <c r="AX108" s="229"/>
      <c r="AY108" s="229"/>
      <c r="AZ108" s="229"/>
      <c r="BA108" s="229"/>
      <c r="BB108" s="229"/>
      <c r="BC108" s="229"/>
      <c r="BD108" s="229"/>
      <c r="BE108" s="229"/>
      <c r="BF108" s="229"/>
      <c r="BG108" s="229"/>
      <c r="BH108" s="229"/>
      <c r="BI108" s="229"/>
      <c r="BJ108" s="229"/>
      <c r="BK108" s="229"/>
      <c r="BL108" s="229"/>
      <c r="BM108" s="229"/>
      <c r="BN108" s="229"/>
      <c r="BO108" s="229"/>
      <c r="BP108" s="229"/>
      <c r="BQ108" s="229"/>
      <c r="BR108" s="229"/>
      <c r="BS108" s="229"/>
      <c r="BT108" s="229"/>
      <c r="BU108" s="229"/>
      <c r="BV108" s="229"/>
      <c r="BW108" s="229"/>
      <c r="BX108" s="229"/>
    </row>
    <row r="109" spans="3:76">
      <c r="C109" s="311" t="s">
        <v>272</v>
      </c>
      <c r="D109" s="322">
        <f>D108/D107</f>
        <v>0.45315125782504351</v>
      </c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29"/>
      <c r="AC109" s="229"/>
      <c r="AD109" s="229"/>
      <c r="AE109" s="229"/>
      <c r="AF109" s="229"/>
      <c r="AG109" s="229"/>
      <c r="AH109" s="229"/>
      <c r="AI109" s="229"/>
      <c r="AJ109" s="229"/>
      <c r="AK109" s="229"/>
      <c r="AL109" s="229"/>
      <c r="AM109" s="229"/>
      <c r="AN109" s="229"/>
      <c r="AO109" s="229"/>
      <c r="AP109" s="229"/>
      <c r="AQ109" s="229"/>
      <c r="AR109" s="229"/>
      <c r="AS109" s="229"/>
      <c r="AT109" s="229"/>
      <c r="AU109" s="229"/>
      <c r="AV109" s="229"/>
      <c r="AW109" s="229"/>
      <c r="AX109" s="229"/>
      <c r="AY109" s="229"/>
      <c r="AZ109" s="229"/>
      <c r="BA109" s="229"/>
      <c r="BB109" s="229"/>
      <c r="BC109" s="229"/>
      <c r="BD109" s="229"/>
      <c r="BE109" s="229"/>
      <c r="BF109" s="229"/>
      <c r="BG109" s="229"/>
      <c r="BH109" s="229"/>
      <c r="BI109" s="229"/>
      <c r="BJ109" s="229"/>
      <c r="BK109" s="229"/>
      <c r="BL109" s="229"/>
      <c r="BM109" s="229"/>
      <c r="BN109" s="229"/>
      <c r="BO109" s="229"/>
      <c r="BP109" s="229"/>
      <c r="BQ109" s="229"/>
      <c r="BR109" s="229"/>
      <c r="BS109" s="229"/>
      <c r="BT109" s="229"/>
      <c r="BU109" s="229"/>
      <c r="BV109" s="229"/>
      <c r="BW109" s="229"/>
      <c r="BX109" s="229"/>
    </row>
    <row r="113" spans="3:76">
      <c r="C113" s="308" t="s">
        <v>273</v>
      </c>
      <c r="D113" s="309"/>
      <c r="E113" s="309">
        <f t="shared" ref="E113:BX113" si="50">-(E6+E75)</f>
        <v>0</v>
      </c>
      <c r="F113" s="309">
        <f t="shared" si="50"/>
        <v>0</v>
      </c>
      <c r="G113" s="309">
        <f t="shared" si="50"/>
        <v>0</v>
      </c>
      <c r="H113" s="309">
        <f t="shared" si="50"/>
        <v>0</v>
      </c>
      <c r="I113" s="309">
        <f t="shared" si="50"/>
        <v>0</v>
      </c>
      <c r="J113" s="309">
        <f t="shared" si="50"/>
        <v>0</v>
      </c>
      <c r="K113" s="309">
        <f t="shared" si="50"/>
        <v>0</v>
      </c>
      <c r="L113" s="309">
        <f t="shared" si="50"/>
        <v>0</v>
      </c>
      <c r="M113" s="309">
        <f t="shared" si="50"/>
        <v>0</v>
      </c>
      <c r="N113" s="309">
        <f t="shared" si="50"/>
        <v>0</v>
      </c>
      <c r="O113" s="309">
        <f t="shared" si="50"/>
        <v>-2381000</v>
      </c>
      <c r="P113" s="309">
        <f t="shared" si="50"/>
        <v>-561824</v>
      </c>
      <c r="Q113" s="309">
        <f t="shared" si="50"/>
        <v>0</v>
      </c>
      <c r="R113" s="309">
        <f t="shared" si="50"/>
        <v>0</v>
      </c>
      <c r="S113" s="309">
        <f t="shared" si="50"/>
        <v>-280000</v>
      </c>
      <c r="T113" s="309">
        <f t="shared" si="50"/>
        <v>0</v>
      </c>
      <c r="U113" s="309">
        <f t="shared" si="50"/>
        <v>-1300000</v>
      </c>
      <c r="V113" s="309">
        <f t="shared" si="50"/>
        <v>0</v>
      </c>
      <c r="W113" s="309">
        <f t="shared" si="50"/>
        <v>0</v>
      </c>
      <c r="X113" s="309">
        <f t="shared" si="50"/>
        <v>0</v>
      </c>
      <c r="Y113" s="309">
        <f t="shared" si="50"/>
        <v>-500000</v>
      </c>
      <c r="Z113" s="309">
        <f t="shared" si="50"/>
        <v>-3500000</v>
      </c>
      <c r="AA113" s="309">
        <f t="shared" si="50"/>
        <v>-4000000</v>
      </c>
      <c r="AB113" s="309">
        <f t="shared" si="50"/>
        <v>-3500000</v>
      </c>
      <c r="AC113" s="309">
        <f t="shared" si="50"/>
        <v>0</v>
      </c>
      <c r="AD113" s="309">
        <f t="shared" si="50"/>
        <v>0</v>
      </c>
      <c r="AE113" s="309">
        <f t="shared" si="50"/>
        <v>0</v>
      </c>
      <c r="AF113" s="309">
        <f t="shared" si="50"/>
        <v>0</v>
      </c>
      <c r="AG113" s="309">
        <f t="shared" si="50"/>
        <v>0</v>
      </c>
      <c r="AH113" s="309">
        <f t="shared" si="50"/>
        <v>0</v>
      </c>
      <c r="AI113" s="309">
        <f t="shared" si="50"/>
        <v>16022824</v>
      </c>
      <c r="AJ113" s="309">
        <f t="shared" si="50"/>
        <v>0</v>
      </c>
      <c r="AK113" s="309">
        <f t="shared" si="50"/>
        <v>0</v>
      </c>
      <c r="AL113" s="309">
        <f t="shared" si="50"/>
        <v>0</v>
      </c>
      <c r="AM113" s="309">
        <f t="shared" si="50"/>
        <v>0</v>
      </c>
      <c r="AN113" s="309">
        <f t="shared" si="50"/>
        <v>0</v>
      </c>
      <c r="AO113" s="309">
        <f t="shared" si="50"/>
        <v>0</v>
      </c>
      <c r="AP113" s="309">
        <f t="shared" si="50"/>
        <v>0</v>
      </c>
      <c r="AQ113" s="309">
        <f t="shared" si="50"/>
        <v>0</v>
      </c>
      <c r="AR113" s="309">
        <f t="shared" si="50"/>
        <v>0</v>
      </c>
      <c r="AS113" s="309">
        <f t="shared" si="50"/>
        <v>0</v>
      </c>
      <c r="AT113" s="309">
        <f t="shared" si="50"/>
        <v>0</v>
      </c>
      <c r="AU113" s="309">
        <f t="shared" si="50"/>
        <v>0</v>
      </c>
      <c r="AV113" s="309">
        <f t="shared" si="50"/>
        <v>0</v>
      </c>
      <c r="AW113" s="309">
        <f t="shared" si="50"/>
        <v>0</v>
      </c>
      <c r="AX113" s="309">
        <f t="shared" si="50"/>
        <v>0</v>
      </c>
      <c r="AY113" s="309">
        <f t="shared" si="50"/>
        <v>0</v>
      </c>
      <c r="AZ113" s="309">
        <f t="shared" si="50"/>
        <v>0</v>
      </c>
      <c r="BA113" s="309">
        <f t="shared" si="50"/>
        <v>0</v>
      </c>
      <c r="BB113" s="309">
        <f t="shared" si="50"/>
        <v>0</v>
      </c>
      <c r="BC113" s="309">
        <f t="shared" si="50"/>
        <v>0</v>
      </c>
      <c r="BD113" s="309">
        <f t="shared" si="50"/>
        <v>0</v>
      </c>
      <c r="BE113" s="309">
        <f t="shared" si="50"/>
        <v>0</v>
      </c>
      <c r="BF113" s="309">
        <f t="shared" si="50"/>
        <v>0</v>
      </c>
      <c r="BG113" s="309">
        <f t="shared" si="50"/>
        <v>0</v>
      </c>
      <c r="BH113" s="309">
        <f t="shared" si="50"/>
        <v>0</v>
      </c>
      <c r="BI113" s="309">
        <f t="shared" si="50"/>
        <v>0</v>
      </c>
      <c r="BJ113" s="309">
        <f t="shared" si="50"/>
        <v>0</v>
      </c>
      <c r="BK113" s="309">
        <f t="shared" si="50"/>
        <v>0</v>
      </c>
      <c r="BL113" s="309">
        <f t="shared" si="50"/>
        <v>0</v>
      </c>
      <c r="BM113" s="309">
        <f t="shared" si="50"/>
        <v>0</v>
      </c>
      <c r="BN113" s="309">
        <f t="shared" si="50"/>
        <v>0</v>
      </c>
      <c r="BO113" s="309">
        <f t="shared" si="50"/>
        <v>0</v>
      </c>
      <c r="BP113" s="309">
        <f t="shared" si="50"/>
        <v>0</v>
      </c>
      <c r="BQ113" s="309">
        <f t="shared" si="50"/>
        <v>0</v>
      </c>
      <c r="BR113" s="309">
        <f t="shared" si="50"/>
        <v>0</v>
      </c>
      <c r="BS113" s="309">
        <f t="shared" si="50"/>
        <v>0</v>
      </c>
      <c r="BT113" s="309">
        <f t="shared" si="50"/>
        <v>0</v>
      </c>
      <c r="BU113" s="309">
        <f t="shared" si="50"/>
        <v>0</v>
      </c>
      <c r="BV113" s="309">
        <f t="shared" si="50"/>
        <v>0</v>
      </c>
      <c r="BW113" s="309">
        <f t="shared" si="50"/>
        <v>0</v>
      </c>
      <c r="BX113" s="309">
        <f t="shared" si="50"/>
        <v>0</v>
      </c>
    </row>
    <row r="114" spans="3:76" outlineLevel="1">
      <c r="C114" s="308" t="s">
        <v>274</v>
      </c>
      <c r="D114" s="317"/>
      <c r="E114" s="309"/>
      <c r="F114" s="309"/>
      <c r="G114" s="309"/>
      <c r="H114" s="309"/>
      <c r="I114" s="309"/>
      <c r="J114" s="309"/>
      <c r="K114" s="309"/>
      <c r="L114" s="309"/>
      <c r="M114" s="309"/>
      <c r="N114" s="309"/>
      <c r="O114" s="309"/>
      <c r="P114" s="309"/>
      <c r="Q114" s="309"/>
      <c r="R114" s="309"/>
      <c r="S114" s="309"/>
      <c r="T114" s="309"/>
      <c r="U114" s="309"/>
      <c r="V114" s="309"/>
      <c r="W114" s="309"/>
      <c r="X114" s="309"/>
      <c r="Y114" s="309"/>
      <c r="Z114" s="309"/>
      <c r="AA114" s="309"/>
      <c r="AB114" s="309"/>
      <c r="AC114" s="309"/>
      <c r="AD114" s="309"/>
      <c r="AE114" s="309"/>
      <c r="AF114" s="309"/>
      <c r="AG114" s="309"/>
      <c r="AH114" s="309"/>
      <c r="AI114" s="309"/>
      <c r="AJ114" s="309"/>
      <c r="AK114" s="309"/>
      <c r="AL114" s="309"/>
      <c r="AM114" s="309"/>
      <c r="AN114" s="309"/>
      <c r="AO114" s="309"/>
      <c r="AP114" s="309"/>
      <c r="AQ114" s="309"/>
      <c r="AR114" s="309"/>
      <c r="AS114" s="309"/>
      <c r="AT114" s="309"/>
      <c r="AU114" s="309"/>
      <c r="AV114" s="309"/>
      <c r="AW114" s="309"/>
      <c r="AX114" s="309"/>
      <c r="AY114" s="309"/>
      <c r="AZ114" s="309"/>
      <c r="BA114" s="309"/>
      <c r="BB114" s="309"/>
      <c r="BC114" s="309"/>
      <c r="BD114" s="309"/>
      <c r="BE114" s="309"/>
      <c r="BF114" s="309"/>
      <c r="BG114" s="309"/>
      <c r="BH114" s="309"/>
      <c r="BI114" s="309"/>
      <c r="BJ114" s="309"/>
      <c r="BK114" s="309"/>
      <c r="BL114" s="309"/>
      <c r="BM114" s="309"/>
      <c r="BN114" s="309"/>
      <c r="BO114" s="309"/>
      <c r="BP114" s="309"/>
      <c r="BQ114" s="309"/>
      <c r="BR114" s="309"/>
      <c r="BS114" s="309"/>
      <c r="BT114" s="309"/>
      <c r="BU114" s="309"/>
      <c r="BV114" s="309"/>
      <c r="BW114" s="309"/>
      <c r="BX114" s="309"/>
    </row>
    <row r="115" spans="3:76" outlineLevel="1">
      <c r="C115" s="308" t="s">
        <v>265</v>
      </c>
      <c r="D115" s="317"/>
      <c r="E115" s="309">
        <f t="shared" ref="E115:BX115" si="51">-E56</f>
        <v>0</v>
      </c>
      <c r="F115" s="309">
        <f t="shared" si="51"/>
        <v>0</v>
      </c>
      <c r="G115" s="309">
        <f t="shared" si="51"/>
        <v>0</v>
      </c>
      <c r="H115" s="309">
        <f t="shared" si="51"/>
        <v>0</v>
      </c>
      <c r="I115" s="309">
        <f t="shared" si="51"/>
        <v>0</v>
      </c>
      <c r="J115" s="309">
        <f t="shared" si="51"/>
        <v>0</v>
      </c>
      <c r="K115" s="309">
        <f t="shared" si="51"/>
        <v>0</v>
      </c>
      <c r="L115" s="309">
        <f t="shared" si="51"/>
        <v>0</v>
      </c>
      <c r="M115" s="309">
        <f t="shared" si="51"/>
        <v>0</v>
      </c>
      <c r="N115" s="309">
        <f t="shared" si="51"/>
        <v>0</v>
      </c>
      <c r="O115" s="309">
        <f t="shared" si="51"/>
        <v>0</v>
      </c>
      <c r="P115" s="309">
        <f t="shared" si="51"/>
        <v>0</v>
      </c>
      <c r="Q115" s="309">
        <f t="shared" si="51"/>
        <v>0</v>
      </c>
      <c r="R115" s="309">
        <f t="shared" si="51"/>
        <v>0</v>
      </c>
      <c r="S115" s="309">
        <f t="shared" si="51"/>
        <v>0</v>
      </c>
      <c r="T115" s="309">
        <f t="shared" si="51"/>
        <v>0</v>
      </c>
      <c r="U115" s="309">
        <f t="shared" si="51"/>
        <v>0</v>
      </c>
      <c r="V115" s="309">
        <f t="shared" si="51"/>
        <v>0</v>
      </c>
      <c r="W115" s="309">
        <f t="shared" si="51"/>
        <v>0</v>
      </c>
      <c r="X115" s="309">
        <f t="shared" si="51"/>
        <v>0</v>
      </c>
      <c r="Y115" s="309">
        <f t="shared" si="51"/>
        <v>0</v>
      </c>
      <c r="Z115" s="309">
        <f t="shared" si="51"/>
        <v>0</v>
      </c>
      <c r="AA115" s="309">
        <f t="shared" si="51"/>
        <v>0</v>
      </c>
      <c r="AB115" s="309">
        <f t="shared" si="51"/>
        <v>0</v>
      </c>
      <c r="AC115" s="309">
        <f t="shared" si="51"/>
        <v>0</v>
      </c>
      <c r="AD115" s="309">
        <f t="shared" si="51"/>
        <v>0</v>
      </c>
      <c r="AE115" s="309">
        <f t="shared" si="51"/>
        <v>0</v>
      </c>
      <c r="AF115" s="309">
        <f t="shared" si="51"/>
        <v>0</v>
      </c>
      <c r="AG115" s="309">
        <f t="shared" si="51"/>
        <v>0</v>
      </c>
      <c r="AH115" s="309">
        <f t="shared" si="51"/>
        <v>0</v>
      </c>
      <c r="AI115" s="309">
        <f t="shared" si="51"/>
        <v>1741643.5666666669</v>
      </c>
      <c r="AJ115" s="309">
        <f t="shared" si="51"/>
        <v>0</v>
      </c>
      <c r="AK115" s="309">
        <f t="shared" si="51"/>
        <v>0</v>
      </c>
      <c r="AL115" s="309">
        <f t="shared" si="51"/>
        <v>0</v>
      </c>
      <c r="AM115" s="309">
        <f t="shared" si="51"/>
        <v>0</v>
      </c>
      <c r="AN115" s="309">
        <f t="shared" si="51"/>
        <v>0</v>
      </c>
      <c r="AO115" s="309">
        <f t="shared" si="51"/>
        <v>0</v>
      </c>
      <c r="AP115" s="309">
        <f t="shared" si="51"/>
        <v>0</v>
      </c>
      <c r="AQ115" s="309">
        <f t="shared" si="51"/>
        <v>0</v>
      </c>
      <c r="AR115" s="309">
        <f t="shared" si="51"/>
        <v>0</v>
      </c>
      <c r="AS115" s="309">
        <f t="shared" si="51"/>
        <v>0</v>
      </c>
      <c r="AT115" s="309">
        <f t="shared" si="51"/>
        <v>0</v>
      </c>
      <c r="AU115" s="309">
        <f t="shared" si="51"/>
        <v>0</v>
      </c>
      <c r="AV115" s="309">
        <f t="shared" si="51"/>
        <v>0</v>
      </c>
      <c r="AW115" s="309">
        <f t="shared" si="51"/>
        <v>0</v>
      </c>
      <c r="AX115" s="309">
        <f t="shared" si="51"/>
        <v>0</v>
      </c>
      <c r="AY115" s="309">
        <f t="shared" si="51"/>
        <v>0</v>
      </c>
      <c r="AZ115" s="309">
        <f t="shared" si="51"/>
        <v>0</v>
      </c>
      <c r="BA115" s="309">
        <f t="shared" si="51"/>
        <v>0</v>
      </c>
      <c r="BB115" s="309">
        <f t="shared" si="51"/>
        <v>0</v>
      </c>
      <c r="BC115" s="309">
        <f t="shared" si="51"/>
        <v>0</v>
      </c>
      <c r="BD115" s="309">
        <f t="shared" si="51"/>
        <v>0</v>
      </c>
      <c r="BE115" s="309">
        <f t="shared" si="51"/>
        <v>0</v>
      </c>
      <c r="BF115" s="309">
        <f t="shared" si="51"/>
        <v>0</v>
      </c>
      <c r="BG115" s="309">
        <f t="shared" si="51"/>
        <v>0</v>
      </c>
      <c r="BH115" s="309">
        <f t="shared" si="51"/>
        <v>0</v>
      </c>
      <c r="BI115" s="309">
        <f t="shared" si="51"/>
        <v>0</v>
      </c>
      <c r="BJ115" s="309">
        <f t="shared" si="51"/>
        <v>0</v>
      </c>
      <c r="BK115" s="309">
        <f t="shared" si="51"/>
        <v>0</v>
      </c>
      <c r="BL115" s="309">
        <f t="shared" si="51"/>
        <v>0</v>
      </c>
      <c r="BM115" s="309">
        <f t="shared" si="51"/>
        <v>0</v>
      </c>
      <c r="BN115" s="309">
        <f t="shared" si="51"/>
        <v>0</v>
      </c>
      <c r="BO115" s="309">
        <f t="shared" si="51"/>
        <v>0</v>
      </c>
      <c r="BP115" s="309">
        <f t="shared" si="51"/>
        <v>0</v>
      </c>
      <c r="BQ115" s="309">
        <f t="shared" si="51"/>
        <v>0</v>
      </c>
      <c r="BR115" s="309">
        <f t="shared" si="51"/>
        <v>0</v>
      </c>
      <c r="BS115" s="309">
        <f t="shared" si="51"/>
        <v>0</v>
      </c>
      <c r="BT115" s="309">
        <f t="shared" si="51"/>
        <v>0</v>
      </c>
      <c r="BU115" s="309">
        <f t="shared" si="51"/>
        <v>0</v>
      </c>
      <c r="BV115" s="309">
        <f t="shared" si="51"/>
        <v>0</v>
      </c>
      <c r="BW115" s="309">
        <f t="shared" si="51"/>
        <v>0</v>
      </c>
      <c r="BX115" s="309">
        <f t="shared" si="51"/>
        <v>0</v>
      </c>
    </row>
    <row r="116" spans="3:76" outlineLevel="1">
      <c r="C116" s="308" t="s">
        <v>266</v>
      </c>
      <c r="D116" s="317"/>
      <c r="E116" s="309"/>
      <c r="F116" s="309"/>
      <c r="G116" s="309"/>
      <c r="H116" s="309"/>
      <c r="I116" s="309"/>
      <c r="J116" s="309"/>
      <c r="K116" s="309"/>
      <c r="L116" s="309"/>
      <c r="M116" s="309"/>
      <c r="N116" s="309"/>
      <c r="O116" s="309"/>
      <c r="P116" s="309"/>
      <c r="Q116" s="309"/>
      <c r="R116" s="309"/>
      <c r="S116" s="309"/>
      <c r="T116" s="309"/>
      <c r="U116" s="309"/>
      <c r="V116" s="309"/>
      <c r="W116" s="309"/>
      <c r="X116" s="309"/>
      <c r="Y116" s="309"/>
      <c r="Z116" s="309"/>
      <c r="AA116" s="309"/>
      <c r="AB116" s="309"/>
      <c r="AC116" s="309"/>
      <c r="AD116" s="309"/>
      <c r="AE116" s="309"/>
      <c r="AF116" s="309"/>
      <c r="AG116" s="309"/>
      <c r="AH116" s="309"/>
      <c r="AI116" s="309"/>
      <c r="AJ116" s="309"/>
      <c r="AK116" s="309"/>
      <c r="AL116" s="309"/>
      <c r="AM116" s="309"/>
      <c r="AN116" s="309"/>
      <c r="AO116" s="309"/>
      <c r="AP116" s="309"/>
      <c r="AQ116" s="309"/>
      <c r="AR116" s="309"/>
      <c r="AS116" s="309"/>
      <c r="AT116" s="309"/>
      <c r="AU116" s="309"/>
      <c r="AV116" s="309"/>
      <c r="AW116" s="309"/>
      <c r="AX116" s="309"/>
      <c r="AY116" s="309"/>
      <c r="AZ116" s="309"/>
      <c r="BA116" s="309"/>
      <c r="BB116" s="309"/>
      <c r="BC116" s="309"/>
      <c r="BD116" s="309"/>
      <c r="BE116" s="309"/>
      <c r="BF116" s="309"/>
      <c r="BG116" s="309"/>
      <c r="BH116" s="309"/>
      <c r="BI116" s="309"/>
      <c r="BJ116" s="309"/>
      <c r="BK116" s="309"/>
      <c r="BL116" s="309"/>
      <c r="BM116" s="309"/>
      <c r="BN116" s="309"/>
      <c r="BO116" s="309"/>
      <c r="BP116" s="309"/>
      <c r="BQ116" s="309"/>
      <c r="BR116" s="309"/>
      <c r="BS116" s="309"/>
      <c r="BT116" s="309"/>
      <c r="BU116" s="309"/>
      <c r="BV116" s="309"/>
      <c r="BW116" s="309"/>
      <c r="BX116" s="309">
        <f>IF(D90&gt;0.25,(BX84-BX93)*D117,BX84*D117)</f>
        <v>17599837.843763076</v>
      </c>
    </row>
    <row r="117" spans="3:76" outlineLevel="1">
      <c r="C117" s="311" t="s">
        <v>267</v>
      </c>
      <c r="D117" s="317">
        <f>1-D102</f>
        <v>0.8</v>
      </c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  <c r="S117" s="250"/>
      <c r="T117" s="250"/>
      <c r="U117" s="250"/>
      <c r="V117" s="250"/>
      <c r="W117" s="250"/>
      <c r="X117" s="250"/>
      <c r="Y117" s="250"/>
      <c r="Z117" s="250"/>
      <c r="AA117" s="250"/>
      <c r="AB117" s="250"/>
      <c r="AC117" s="250"/>
      <c r="AD117" s="250"/>
      <c r="AE117" s="250"/>
      <c r="AF117" s="250"/>
      <c r="AG117" s="250"/>
      <c r="AH117" s="250"/>
      <c r="AI117" s="250">
        <f>AI84*D117</f>
        <v>21999797.304703847</v>
      </c>
      <c r="AJ117" s="250"/>
      <c r="AK117" s="250"/>
      <c r="AL117" s="250"/>
      <c r="AM117" s="250"/>
      <c r="AN117" s="250"/>
      <c r="AO117" s="250"/>
      <c r="AP117" s="250"/>
      <c r="AQ117" s="250"/>
      <c r="AR117" s="250"/>
      <c r="AS117" s="250"/>
      <c r="AT117" s="250"/>
      <c r="AU117" s="250"/>
      <c r="AV117" s="250"/>
      <c r="AW117" s="250"/>
      <c r="AX117" s="250"/>
      <c r="AY117" s="250"/>
      <c r="AZ117" s="250"/>
      <c r="BA117" s="250"/>
      <c r="BB117" s="250"/>
      <c r="BC117" s="250"/>
      <c r="BD117" s="250"/>
      <c r="BE117" s="250"/>
      <c r="BF117" s="250"/>
      <c r="BG117" s="250"/>
      <c r="BH117" s="250"/>
      <c r="BI117" s="250"/>
      <c r="BJ117" s="250"/>
      <c r="BK117" s="250"/>
      <c r="BL117" s="250"/>
      <c r="BM117" s="250"/>
      <c r="BN117" s="250"/>
      <c r="BO117" s="250"/>
      <c r="BP117" s="250"/>
      <c r="BQ117" s="250"/>
      <c r="BR117" s="250"/>
      <c r="BS117" s="250"/>
      <c r="BT117" s="250"/>
      <c r="BU117" s="250"/>
      <c r="BV117" s="250"/>
      <c r="BW117" s="250"/>
      <c r="BX117" s="250"/>
    </row>
    <row r="118" spans="3:76" outlineLevel="1">
      <c r="C118" s="308" t="s">
        <v>268</v>
      </c>
      <c r="D118" s="309"/>
      <c r="E118" s="319">
        <f t="shared" ref="E118:BX118" si="52">E113+E114+E115+E116+E117</f>
        <v>0</v>
      </c>
      <c r="F118" s="319">
        <f t="shared" si="52"/>
        <v>0</v>
      </c>
      <c r="G118" s="319">
        <f t="shared" si="52"/>
        <v>0</v>
      </c>
      <c r="H118" s="319">
        <f t="shared" si="52"/>
        <v>0</v>
      </c>
      <c r="I118" s="319">
        <f t="shared" si="52"/>
        <v>0</v>
      </c>
      <c r="J118" s="319">
        <f t="shared" si="52"/>
        <v>0</v>
      </c>
      <c r="K118" s="319">
        <f t="shared" si="52"/>
        <v>0</v>
      </c>
      <c r="L118" s="319">
        <f t="shared" si="52"/>
        <v>0</v>
      </c>
      <c r="M118" s="319">
        <f t="shared" si="52"/>
        <v>0</v>
      </c>
      <c r="N118" s="319">
        <f t="shared" si="52"/>
        <v>0</v>
      </c>
      <c r="O118" s="319">
        <f t="shared" si="52"/>
        <v>-2381000</v>
      </c>
      <c r="P118" s="319">
        <f t="shared" si="52"/>
        <v>-561824</v>
      </c>
      <c r="Q118" s="319">
        <f t="shared" si="52"/>
        <v>0</v>
      </c>
      <c r="R118" s="319">
        <f t="shared" si="52"/>
        <v>0</v>
      </c>
      <c r="S118" s="319">
        <f t="shared" si="52"/>
        <v>-280000</v>
      </c>
      <c r="T118" s="319">
        <f t="shared" si="52"/>
        <v>0</v>
      </c>
      <c r="U118" s="319">
        <f t="shared" si="52"/>
        <v>-1300000</v>
      </c>
      <c r="V118" s="319">
        <f t="shared" si="52"/>
        <v>0</v>
      </c>
      <c r="W118" s="319">
        <f t="shared" si="52"/>
        <v>0</v>
      </c>
      <c r="X118" s="319">
        <f t="shared" si="52"/>
        <v>0</v>
      </c>
      <c r="Y118" s="319">
        <f t="shared" si="52"/>
        <v>-500000</v>
      </c>
      <c r="Z118" s="319">
        <f t="shared" si="52"/>
        <v>-3500000</v>
      </c>
      <c r="AA118" s="319">
        <f t="shared" si="52"/>
        <v>-4000000</v>
      </c>
      <c r="AB118" s="319">
        <f t="shared" si="52"/>
        <v>-3500000</v>
      </c>
      <c r="AC118" s="319">
        <f t="shared" si="52"/>
        <v>0</v>
      </c>
      <c r="AD118" s="319">
        <f t="shared" si="52"/>
        <v>0</v>
      </c>
      <c r="AE118" s="319">
        <f t="shared" si="52"/>
        <v>0</v>
      </c>
      <c r="AF118" s="319">
        <f t="shared" si="52"/>
        <v>0</v>
      </c>
      <c r="AG118" s="319">
        <f t="shared" si="52"/>
        <v>0</v>
      </c>
      <c r="AH118" s="319">
        <f t="shared" si="52"/>
        <v>0</v>
      </c>
      <c r="AI118" s="319">
        <f t="shared" si="52"/>
        <v>39764264.871370509</v>
      </c>
      <c r="AJ118" s="319">
        <f t="shared" si="52"/>
        <v>0</v>
      </c>
      <c r="AK118" s="319">
        <f t="shared" si="52"/>
        <v>0</v>
      </c>
      <c r="AL118" s="319">
        <f t="shared" si="52"/>
        <v>0</v>
      </c>
      <c r="AM118" s="319">
        <f t="shared" si="52"/>
        <v>0</v>
      </c>
      <c r="AN118" s="319">
        <f t="shared" si="52"/>
        <v>0</v>
      </c>
      <c r="AO118" s="319">
        <f t="shared" si="52"/>
        <v>0</v>
      </c>
      <c r="AP118" s="319">
        <f t="shared" si="52"/>
        <v>0</v>
      </c>
      <c r="AQ118" s="319">
        <f t="shared" si="52"/>
        <v>0</v>
      </c>
      <c r="AR118" s="319">
        <f t="shared" si="52"/>
        <v>0</v>
      </c>
      <c r="AS118" s="319">
        <f t="shared" si="52"/>
        <v>0</v>
      </c>
      <c r="AT118" s="319">
        <f t="shared" si="52"/>
        <v>0</v>
      </c>
      <c r="AU118" s="319">
        <f t="shared" si="52"/>
        <v>0</v>
      </c>
      <c r="AV118" s="319">
        <f t="shared" si="52"/>
        <v>0</v>
      </c>
      <c r="AW118" s="319">
        <f t="shared" si="52"/>
        <v>0</v>
      </c>
      <c r="AX118" s="319">
        <f t="shared" si="52"/>
        <v>0</v>
      </c>
      <c r="AY118" s="319">
        <f t="shared" si="52"/>
        <v>0</v>
      </c>
      <c r="AZ118" s="319">
        <f t="shared" si="52"/>
        <v>0</v>
      </c>
      <c r="BA118" s="319">
        <f t="shared" si="52"/>
        <v>0</v>
      </c>
      <c r="BB118" s="319">
        <f t="shared" si="52"/>
        <v>0</v>
      </c>
      <c r="BC118" s="319">
        <f t="shared" si="52"/>
        <v>0</v>
      </c>
      <c r="BD118" s="319">
        <f t="shared" si="52"/>
        <v>0</v>
      </c>
      <c r="BE118" s="319">
        <f t="shared" si="52"/>
        <v>0</v>
      </c>
      <c r="BF118" s="319">
        <f t="shared" si="52"/>
        <v>0</v>
      </c>
      <c r="BG118" s="319">
        <f t="shared" si="52"/>
        <v>0</v>
      </c>
      <c r="BH118" s="319">
        <f t="shared" si="52"/>
        <v>0</v>
      </c>
      <c r="BI118" s="319">
        <f t="shared" si="52"/>
        <v>0</v>
      </c>
      <c r="BJ118" s="319">
        <f t="shared" si="52"/>
        <v>0</v>
      </c>
      <c r="BK118" s="319">
        <f t="shared" si="52"/>
        <v>0</v>
      </c>
      <c r="BL118" s="319">
        <f t="shared" si="52"/>
        <v>0</v>
      </c>
      <c r="BM118" s="319">
        <f t="shared" si="52"/>
        <v>0</v>
      </c>
      <c r="BN118" s="319">
        <f t="shared" si="52"/>
        <v>0</v>
      </c>
      <c r="BO118" s="319">
        <f t="shared" si="52"/>
        <v>0</v>
      </c>
      <c r="BP118" s="319">
        <f t="shared" si="52"/>
        <v>0</v>
      </c>
      <c r="BQ118" s="319">
        <f t="shared" si="52"/>
        <v>0</v>
      </c>
      <c r="BR118" s="319">
        <f t="shared" si="52"/>
        <v>0</v>
      </c>
      <c r="BS118" s="319">
        <f t="shared" si="52"/>
        <v>0</v>
      </c>
      <c r="BT118" s="319">
        <f t="shared" si="52"/>
        <v>0</v>
      </c>
      <c r="BU118" s="319">
        <f t="shared" si="52"/>
        <v>0</v>
      </c>
      <c r="BV118" s="319">
        <f t="shared" si="52"/>
        <v>0</v>
      </c>
      <c r="BW118" s="319">
        <f t="shared" si="52"/>
        <v>0</v>
      </c>
      <c r="BX118" s="319">
        <f t="shared" si="52"/>
        <v>17599837.843763076</v>
      </c>
    </row>
    <row r="119" spans="3:76" outlineLevel="1">
      <c r="C119" s="312"/>
      <c r="D119" s="322" t="s">
        <v>275</v>
      </c>
      <c r="E119" s="321">
        <f>E118</f>
        <v>0</v>
      </c>
      <c r="F119" s="321">
        <f t="shared" ref="F119:BX119" si="53">E119+F118</f>
        <v>0</v>
      </c>
      <c r="G119" s="321">
        <f t="shared" si="53"/>
        <v>0</v>
      </c>
      <c r="H119" s="321">
        <f t="shared" si="53"/>
        <v>0</v>
      </c>
      <c r="I119" s="321">
        <f t="shared" si="53"/>
        <v>0</v>
      </c>
      <c r="J119" s="321">
        <f t="shared" si="53"/>
        <v>0</v>
      </c>
      <c r="K119" s="321">
        <f t="shared" si="53"/>
        <v>0</v>
      </c>
      <c r="L119" s="321">
        <f t="shared" si="53"/>
        <v>0</v>
      </c>
      <c r="M119" s="321">
        <f t="shared" si="53"/>
        <v>0</v>
      </c>
      <c r="N119" s="321">
        <f t="shared" si="53"/>
        <v>0</v>
      </c>
      <c r="O119" s="321">
        <f t="shared" si="53"/>
        <v>-2381000</v>
      </c>
      <c r="P119" s="321">
        <f t="shared" si="53"/>
        <v>-2942824</v>
      </c>
      <c r="Q119" s="321">
        <f t="shared" si="53"/>
        <v>-2942824</v>
      </c>
      <c r="R119" s="321">
        <f t="shared" si="53"/>
        <v>-2942824</v>
      </c>
      <c r="S119" s="321">
        <f t="shared" si="53"/>
        <v>-3222824</v>
      </c>
      <c r="T119" s="321">
        <f t="shared" si="53"/>
        <v>-3222824</v>
      </c>
      <c r="U119" s="321">
        <f t="shared" si="53"/>
        <v>-4522824</v>
      </c>
      <c r="V119" s="321">
        <f t="shared" si="53"/>
        <v>-4522824</v>
      </c>
      <c r="W119" s="321">
        <f t="shared" si="53"/>
        <v>-4522824</v>
      </c>
      <c r="X119" s="321">
        <f t="shared" si="53"/>
        <v>-4522824</v>
      </c>
      <c r="Y119" s="321">
        <f t="shared" si="53"/>
        <v>-5022824</v>
      </c>
      <c r="Z119" s="321">
        <f t="shared" si="53"/>
        <v>-8522824</v>
      </c>
      <c r="AA119" s="321">
        <f t="shared" si="53"/>
        <v>-12522824</v>
      </c>
      <c r="AB119" s="321">
        <f t="shared" si="53"/>
        <v>-16022824</v>
      </c>
      <c r="AC119" s="321">
        <f t="shared" si="53"/>
        <v>-16022824</v>
      </c>
      <c r="AD119" s="321">
        <f t="shared" si="53"/>
        <v>-16022824</v>
      </c>
      <c r="AE119" s="321">
        <f t="shared" si="53"/>
        <v>-16022824</v>
      </c>
      <c r="AF119" s="321">
        <f t="shared" si="53"/>
        <v>-16022824</v>
      </c>
      <c r="AG119" s="321">
        <f t="shared" si="53"/>
        <v>-16022824</v>
      </c>
      <c r="AH119" s="321">
        <f t="shared" si="53"/>
        <v>-16022824</v>
      </c>
      <c r="AI119" s="321">
        <f t="shared" si="53"/>
        <v>23741440.871370509</v>
      </c>
      <c r="AJ119" s="321">
        <f t="shared" si="53"/>
        <v>23741440.871370509</v>
      </c>
      <c r="AK119" s="321">
        <f t="shared" si="53"/>
        <v>23741440.871370509</v>
      </c>
      <c r="AL119" s="321">
        <f t="shared" si="53"/>
        <v>23741440.871370509</v>
      </c>
      <c r="AM119" s="321">
        <f t="shared" si="53"/>
        <v>23741440.871370509</v>
      </c>
      <c r="AN119" s="321">
        <f t="shared" si="53"/>
        <v>23741440.871370509</v>
      </c>
      <c r="AO119" s="321">
        <f t="shared" si="53"/>
        <v>23741440.871370509</v>
      </c>
      <c r="AP119" s="321">
        <f t="shared" si="53"/>
        <v>23741440.871370509</v>
      </c>
      <c r="AQ119" s="321">
        <f t="shared" si="53"/>
        <v>23741440.871370509</v>
      </c>
      <c r="AR119" s="321">
        <f t="shared" si="53"/>
        <v>23741440.871370509</v>
      </c>
      <c r="AS119" s="321">
        <f t="shared" si="53"/>
        <v>23741440.871370509</v>
      </c>
      <c r="AT119" s="321">
        <f t="shared" si="53"/>
        <v>23741440.871370509</v>
      </c>
      <c r="AU119" s="321">
        <f t="shared" si="53"/>
        <v>23741440.871370509</v>
      </c>
      <c r="AV119" s="321">
        <f t="shared" si="53"/>
        <v>23741440.871370509</v>
      </c>
      <c r="AW119" s="321">
        <f t="shared" si="53"/>
        <v>23741440.871370509</v>
      </c>
      <c r="AX119" s="321">
        <f t="shared" si="53"/>
        <v>23741440.871370509</v>
      </c>
      <c r="AY119" s="321">
        <f t="shared" si="53"/>
        <v>23741440.871370509</v>
      </c>
      <c r="AZ119" s="321">
        <f t="shared" si="53"/>
        <v>23741440.871370509</v>
      </c>
      <c r="BA119" s="321">
        <f t="shared" si="53"/>
        <v>23741440.871370509</v>
      </c>
      <c r="BB119" s="321">
        <f t="shared" si="53"/>
        <v>23741440.871370509</v>
      </c>
      <c r="BC119" s="321">
        <f t="shared" si="53"/>
        <v>23741440.871370509</v>
      </c>
      <c r="BD119" s="321">
        <f t="shared" si="53"/>
        <v>23741440.871370509</v>
      </c>
      <c r="BE119" s="321">
        <f t="shared" si="53"/>
        <v>23741440.871370509</v>
      </c>
      <c r="BF119" s="321">
        <f t="shared" si="53"/>
        <v>23741440.871370509</v>
      </c>
      <c r="BG119" s="321">
        <f t="shared" si="53"/>
        <v>23741440.871370509</v>
      </c>
      <c r="BH119" s="321">
        <f t="shared" si="53"/>
        <v>23741440.871370509</v>
      </c>
      <c r="BI119" s="321">
        <f t="shared" si="53"/>
        <v>23741440.871370509</v>
      </c>
      <c r="BJ119" s="321">
        <f t="shared" si="53"/>
        <v>23741440.871370509</v>
      </c>
      <c r="BK119" s="321">
        <f t="shared" si="53"/>
        <v>23741440.871370509</v>
      </c>
      <c r="BL119" s="321">
        <f t="shared" si="53"/>
        <v>23741440.871370509</v>
      </c>
      <c r="BM119" s="321">
        <f t="shared" si="53"/>
        <v>23741440.871370509</v>
      </c>
      <c r="BN119" s="321">
        <f t="shared" si="53"/>
        <v>23741440.871370509</v>
      </c>
      <c r="BO119" s="321">
        <f t="shared" si="53"/>
        <v>23741440.871370509</v>
      </c>
      <c r="BP119" s="321">
        <f t="shared" si="53"/>
        <v>23741440.871370509</v>
      </c>
      <c r="BQ119" s="321">
        <f t="shared" si="53"/>
        <v>23741440.871370509</v>
      </c>
      <c r="BR119" s="321">
        <f t="shared" si="53"/>
        <v>23741440.871370509</v>
      </c>
      <c r="BS119" s="321">
        <f t="shared" si="53"/>
        <v>23741440.871370509</v>
      </c>
      <c r="BT119" s="321">
        <f t="shared" si="53"/>
        <v>23741440.871370509</v>
      </c>
      <c r="BU119" s="321">
        <f t="shared" si="53"/>
        <v>23741440.871370509</v>
      </c>
      <c r="BV119" s="321">
        <f t="shared" si="53"/>
        <v>23741440.871370509</v>
      </c>
      <c r="BW119" s="321">
        <f t="shared" si="53"/>
        <v>23741440.871370509</v>
      </c>
      <c r="BX119" s="321">
        <f t="shared" si="53"/>
        <v>41341278.715133585</v>
      </c>
    </row>
    <row r="120" spans="3:76" outlineLevel="1">
      <c r="C120" s="311" t="s">
        <v>261</v>
      </c>
      <c r="D120" s="322">
        <f>IRR(L118:AI118)*12</f>
        <v>0.95964951237991158</v>
      </c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  <c r="AJ120" s="229"/>
      <c r="AK120" s="229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29"/>
      <c r="BN120" s="229"/>
      <c r="BO120" s="229"/>
      <c r="BP120" s="229"/>
      <c r="BQ120" s="229"/>
      <c r="BR120" s="229"/>
      <c r="BS120" s="229"/>
      <c r="BT120" s="229"/>
      <c r="BU120" s="229"/>
      <c r="BV120" s="229"/>
      <c r="BW120" s="229"/>
      <c r="BX120" s="229"/>
    </row>
    <row r="121" spans="3:76" outlineLevel="1">
      <c r="C121" s="323" t="s">
        <v>269</v>
      </c>
      <c r="D121" s="324">
        <f>-MIN(E119:BL119)</f>
        <v>16022824</v>
      </c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  <c r="AQ121" s="229"/>
      <c r="AR121" s="229"/>
      <c r="AS121" s="229"/>
      <c r="AT121" s="229"/>
      <c r="AU121" s="229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29"/>
      <c r="BF121" s="229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29"/>
      <c r="BQ121" s="229"/>
      <c r="BR121" s="229"/>
      <c r="BS121" s="229"/>
      <c r="BT121" s="229"/>
      <c r="BU121" s="229"/>
      <c r="BV121" s="229"/>
      <c r="BW121" s="229"/>
      <c r="BX121" s="229"/>
    </row>
    <row r="122" spans="3:76" outlineLevel="1">
      <c r="C122" s="323" t="s">
        <v>276</v>
      </c>
      <c r="D122" s="324"/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29"/>
      <c r="AK122" s="229"/>
      <c r="AL122" s="229"/>
      <c r="AM122" s="229"/>
      <c r="AN122" s="229"/>
      <c r="AO122" s="229"/>
      <c r="AP122" s="229"/>
      <c r="AQ122" s="229"/>
      <c r="AR122" s="229"/>
      <c r="AS122" s="229"/>
      <c r="AT122" s="229"/>
      <c r="AU122" s="229"/>
      <c r="AV122" s="229"/>
      <c r="AW122" s="229"/>
      <c r="AX122" s="229"/>
      <c r="AY122" s="229"/>
      <c r="AZ122" s="229"/>
      <c r="BA122" s="229"/>
      <c r="BB122" s="229"/>
      <c r="BC122" s="229"/>
      <c r="BD122" s="229"/>
      <c r="BE122" s="229"/>
      <c r="BF122" s="229"/>
      <c r="BG122" s="229"/>
      <c r="BH122" s="229"/>
      <c r="BI122" s="229"/>
      <c r="BJ122" s="229"/>
      <c r="BK122" s="229"/>
      <c r="BL122" s="229"/>
      <c r="BM122" s="229"/>
      <c r="BN122" s="229"/>
      <c r="BO122" s="229"/>
      <c r="BP122" s="229"/>
      <c r="BQ122" s="229"/>
      <c r="BR122" s="229"/>
      <c r="BS122" s="229"/>
      <c r="BT122" s="229"/>
      <c r="BU122" s="229"/>
      <c r="BV122" s="229"/>
      <c r="BW122" s="229"/>
      <c r="BX122" s="229"/>
    </row>
    <row r="123" spans="3:76" outlineLevel="1">
      <c r="C123" s="311" t="s">
        <v>270</v>
      </c>
      <c r="D123" s="325">
        <f>D122+D121</f>
        <v>16022824</v>
      </c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  <c r="AG123" s="229"/>
      <c r="AH123" s="229"/>
      <c r="AI123" s="229"/>
      <c r="AJ123" s="229"/>
      <c r="AK123" s="229"/>
      <c r="AL123" s="229"/>
      <c r="AM123" s="229"/>
      <c r="AN123" s="229"/>
      <c r="AO123" s="229"/>
      <c r="AP123" s="229"/>
      <c r="AQ123" s="229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229"/>
      <c r="BD123" s="229"/>
      <c r="BE123" s="229"/>
      <c r="BF123" s="229"/>
      <c r="BG123" s="229"/>
      <c r="BH123" s="229"/>
      <c r="BI123" s="229"/>
      <c r="BJ123" s="229"/>
      <c r="BK123" s="229"/>
      <c r="BL123" s="229"/>
      <c r="BM123" s="229"/>
      <c r="BN123" s="229"/>
      <c r="BO123" s="229"/>
      <c r="BP123" s="229"/>
      <c r="BQ123" s="229"/>
      <c r="BR123" s="229"/>
      <c r="BS123" s="229"/>
      <c r="BT123" s="229"/>
      <c r="BU123" s="229"/>
      <c r="BV123" s="229"/>
      <c r="BW123" s="229"/>
      <c r="BX123" s="229"/>
    </row>
    <row r="124" spans="3:76" outlineLevel="1">
      <c r="C124" s="311" t="s">
        <v>271</v>
      </c>
      <c r="D124" s="325">
        <f>AI115+AI117</f>
        <v>23741440.871370513</v>
      </c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29"/>
      <c r="AC124" s="229"/>
      <c r="AD124" s="229"/>
      <c r="AE124" s="229"/>
      <c r="AF124" s="229"/>
      <c r="AG124" s="229"/>
      <c r="AH124" s="229"/>
      <c r="AI124" s="229"/>
      <c r="AJ124" s="229"/>
      <c r="AK124" s="229"/>
      <c r="AL124" s="229"/>
      <c r="AM124" s="229"/>
      <c r="AN124" s="229"/>
      <c r="AO124" s="229"/>
      <c r="AP124" s="229"/>
      <c r="AQ124" s="229"/>
      <c r="AR124" s="229"/>
      <c r="AS124" s="229"/>
      <c r="AT124" s="229"/>
      <c r="AU124" s="229"/>
      <c r="AV124" s="229"/>
      <c r="AW124" s="229"/>
      <c r="AX124" s="229"/>
      <c r="AY124" s="229"/>
      <c r="AZ124" s="229"/>
      <c r="BA124" s="229"/>
      <c r="BB124" s="229"/>
      <c r="BC124" s="229"/>
      <c r="BD124" s="229"/>
      <c r="BE124" s="229"/>
      <c r="BF124" s="229"/>
      <c r="BG124" s="229"/>
      <c r="BH124" s="229"/>
      <c r="BI124" s="229"/>
      <c r="BJ124" s="229"/>
      <c r="BK124" s="229"/>
      <c r="BL124" s="229"/>
      <c r="BM124" s="229"/>
      <c r="BN124" s="229"/>
      <c r="BO124" s="229"/>
      <c r="BP124" s="229"/>
      <c r="BQ124" s="229"/>
      <c r="BR124" s="229"/>
      <c r="BS124" s="229"/>
      <c r="BT124" s="229"/>
      <c r="BU124" s="229"/>
      <c r="BV124" s="229"/>
      <c r="BW124" s="229"/>
      <c r="BX124" s="229"/>
    </row>
    <row r="125" spans="3:76" outlineLevel="1">
      <c r="C125" s="311" t="s">
        <v>272</v>
      </c>
      <c r="D125" s="322">
        <f>(D124-D122)/D123</f>
        <v>1.4817263717912967</v>
      </c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29"/>
      <c r="AC125" s="229"/>
      <c r="AD125" s="229"/>
      <c r="AE125" s="229"/>
      <c r="AF125" s="229"/>
      <c r="AG125" s="229"/>
      <c r="AH125" s="229"/>
      <c r="AI125" s="229"/>
      <c r="AJ125" s="229"/>
      <c r="AK125" s="229"/>
      <c r="AL125" s="229"/>
      <c r="AM125" s="229"/>
      <c r="AN125" s="229"/>
      <c r="AO125" s="229"/>
      <c r="AP125" s="229"/>
      <c r="AQ125" s="229"/>
      <c r="AR125" s="229"/>
      <c r="AS125" s="229"/>
      <c r="AT125" s="229"/>
      <c r="AU125" s="229"/>
      <c r="AV125" s="229"/>
      <c r="AW125" s="229"/>
      <c r="AX125" s="229"/>
      <c r="AY125" s="229"/>
      <c r="AZ125" s="229"/>
      <c r="BA125" s="229"/>
      <c r="BB125" s="229"/>
      <c r="BC125" s="229"/>
      <c r="BD125" s="229"/>
      <c r="BE125" s="229"/>
      <c r="BF125" s="229"/>
      <c r="BG125" s="229"/>
      <c r="BH125" s="229"/>
      <c r="BI125" s="229"/>
      <c r="BJ125" s="229"/>
      <c r="BK125" s="229"/>
      <c r="BL125" s="229"/>
      <c r="BM125" s="229"/>
      <c r="BN125" s="229"/>
      <c r="BO125" s="229"/>
      <c r="BP125" s="229"/>
      <c r="BQ125" s="229"/>
      <c r="BR125" s="229"/>
      <c r="BS125" s="229"/>
      <c r="BT125" s="229"/>
      <c r="BU125" s="229"/>
      <c r="BV125" s="229"/>
      <c r="BW125" s="229"/>
      <c r="BX125" s="229"/>
    </row>
    <row r="129" spans="3:76" collapsed="1">
      <c r="C129" s="308" t="s">
        <v>277</v>
      </c>
      <c r="D129" s="309"/>
      <c r="E129" s="309">
        <f t="shared" ref="E129:BX129" si="54">-(E7+E76)</f>
        <v>0</v>
      </c>
      <c r="F129" s="309">
        <f t="shared" si="54"/>
        <v>0</v>
      </c>
      <c r="G129" s="309">
        <f t="shared" si="54"/>
        <v>0</v>
      </c>
      <c r="H129" s="309">
        <f t="shared" si="54"/>
        <v>0</v>
      </c>
      <c r="I129" s="309">
        <f t="shared" si="54"/>
        <v>0</v>
      </c>
      <c r="J129" s="309">
        <f t="shared" si="54"/>
        <v>0</v>
      </c>
      <c r="K129" s="309">
        <f t="shared" si="54"/>
        <v>0</v>
      </c>
      <c r="L129" s="309">
        <f t="shared" si="54"/>
        <v>0</v>
      </c>
      <c r="M129" s="309">
        <f t="shared" si="54"/>
        <v>0</v>
      </c>
      <c r="N129" s="309">
        <f t="shared" si="54"/>
        <v>0</v>
      </c>
      <c r="O129" s="309">
        <f t="shared" si="54"/>
        <v>0</v>
      </c>
      <c r="P129" s="309">
        <f t="shared" si="54"/>
        <v>0</v>
      </c>
      <c r="Q129" s="309">
        <f t="shared" si="54"/>
        <v>0</v>
      </c>
      <c r="R129" s="309">
        <f t="shared" si="54"/>
        <v>0</v>
      </c>
      <c r="S129" s="309">
        <f t="shared" si="54"/>
        <v>0</v>
      </c>
      <c r="T129" s="309">
        <f t="shared" si="54"/>
        <v>0</v>
      </c>
      <c r="U129" s="309">
        <f t="shared" si="54"/>
        <v>0</v>
      </c>
      <c r="V129" s="309">
        <f t="shared" si="54"/>
        <v>0</v>
      </c>
      <c r="W129" s="309">
        <f t="shared" si="54"/>
        <v>0</v>
      </c>
      <c r="X129" s="309">
        <f t="shared" si="54"/>
        <v>0</v>
      </c>
      <c r="Y129" s="309">
        <f t="shared" si="54"/>
        <v>0</v>
      </c>
      <c r="Z129" s="309">
        <f t="shared" si="54"/>
        <v>0</v>
      </c>
      <c r="AA129" s="309">
        <f t="shared" si="54"/>
        <v>0</v>
      </c>
      <c r="AB129" s="309">
        <f t="shared" si="54"/>
        <v>0</v>
      </c>
      <c r="AC129" s="309">
        <f t="shared" si="54"/>
        <v>0</v>
      </c>
      <c r="AD129" s="309">
        <f t="shared" si="54"/>
        <v>0</v>
      </c>
      <c r="AE129" s="309">
        <f t="shared" si="54"/>
        <v>0</v>
      </c>
      <c r="AF129" s="309">
        <f t="shared" si="54"/>
        <v>0</v>
      </c>
      <c r="AG129" s="309">
        <f t="shared" si="54"/>
        <v>0</v>
      </c>
      <c r="AH129" s="309">
        <f t="shared" si="54"/>
        <v>0</v>
      </c>
      <c r="AI129" s="309">
        <f t="shared" si="54"/>
        <v>0</v>
      </c>
      <c r="AJ129" s="309">
        <f t="shared" si="54"/>
        <v>0</v>
      </c>
      <c r="AK129" s="309">
        <f t="shared" si="54"/>
        <v>0</v>
      </c>
      <c r="AL129" s="309">
        <f t="shared" si="54"/>
        <v>0</v>
      </c>
      <c r="AM129" s="309">
        <f t="shared" si="54"/>
        <v>0</v>
      </c>
      <c r="AN129" s="309">
        <f t="shared" si="54"/>
        <v>0</v>
      </c>
      <c r="AO129" s="309">
        <f t="shared" si="54"/>
        <v>0</v>
      </c>
      <c r="AP129" s="309">
        <f t="shared" si="54"/>
        <v>0</v>
      </c>
      <c r="AQ129" s="309">
        <f t="shared" si="54"/>
        <v>0</v>
      </c>
      <c r="AR129" s="309">
        <f t="shared" si="54"/>
        <v>0</v>
      </c>
      <c r="AS129" s="309">
        <f t="shared" si="54"/>
        <v>0</v>
      </c>
      <c r="AT129" s="309">
        <f t="shared" si="54"/>
        <v>0</v>
      </c>
      <c r="AU129" s="309">
        <f t="shared" si="54"/>
        <v>0</v>
      </c>
      <c r="AV129" s="309">
        <f t="shared" si="54"/>
        <v>0</v>
      </c>
      <c r="AW129" s="309">
        <f t="shared" si="54"/>
        <v>0</v>
      </c>
      <c r="AX129" s="309">
        <f t="shared" si="54"/>
        <v>0</v>
      </c>
      <c r="AY129" s="309">
        <f t="shared" si="54"/>
        <v>0</v>
      </c>
      <c r="AZ129" s="309">
        <f t="shared" si="54"/>
        <v>0</v>
      </c>
      <c r="BA129" s="309">
        <f t="shared" si="54"/>
        <v>0</v>
      </c>
      <c r="BB129" s="309">
        <f t="shared" si="54"/>
        <v>0</v>
      </c>
      <c r="BC129" s="309">
        <f t="shared" si="54"/>
        <v>0</v>
      </c>
      <c r="BD129" s="309">
        <f t="shared" si="54"/>
        <v>0</v>
      </c>
      <c r="BE129" s="309">
        <f t="shared" si="54"/>
        <v>0</v>
      </c>
      <c r="BF129" s="309">
        <f t="shared" si="54"/>
        <v>0</v>
      </c>
      <c r="BG129" s="309">
        <f t="shared" si="54"/>
        <v>0</v>
      </c>
      <c r="BH129" s="309">
        <f t="shared" si="54"/>
        <v>0</v>
      </c>
      <c r="BI129" s="309">
        <f t="shared" si="54"/>
        <v>0</v>
      </c>
      <c r="BJ129" s="309">
        <f t="shared" si="54"/>
        <v>0</v>
      </c>
      <c r="BK129" s="309">
        <f t="shared" si="54"/>
        <v>0</v>
      </c>
      <c r="BL129" s="309">
        <f t="shared" si="54"/>
        <v>0</v>
      </c>
      <c r="BM129" s="309">
        <f t="shared" si="54"/>
        <v>0</v>
      </c>
      <c r="BN129" s="309">
        <f t="shared" si="54"/>
        <v>0</v>
      </c>
      <c r="BO129" s="309">
        <f t="shared" si="54"/>
        <v>0</v>
      </c>
      <c r="BP129" s="309">
        <f t="shared" si="54"/>
        <v>0</v>
      </c>
      <c r="BQ129" s="309">
        <f t="shared" si="54"/>
        <v>0</v>
      </c>
      <c r="BR129" s="309">
        <f t="shared" si="54"/>
        <v>0</v>
      </c>
      <c r="BS129" s="309">
        <f t="shared" si="54"/>
        <v>0</v>
      </c>
      <c r="BT129" s="309">
        <f t="shared" si="54"/>
        <v>0</v>
      </c>
      <c r="BU129" s="309">
        <f t="shared" si="54"/>
        <v>0</v>
      </c>
      <c r="BV129" s="309">
        <f t="shared" si="54"/>
        <v>0</v>
      </c>
      <c r="BW129" s="309">
        <f t="shared" si="54"/>
        <v>0</v>
      </c>
      <c r="BX129" s="309">
        <f t="shared" si="54"/>
        <v>0</v>
      </c>
    </row>
    <row r="130" spans="3:76" outlineLevel="1">
      <c r="C130" s="308" t="s">
        <v>274</v>
      </c>
      <c r="D130" s="317"/>
      <c r="E130" s="309"/>
      <c r="F130" s="309"/>
      <c r="G130" s="309"/>
      <c r="H130" s="309"/>
      <c r="I130" s="309"/>
      <c r="J130" s="309"/>
      <c r="K130" s="309"/>
      <c r="L130" s="309"/>
      <c r="M130" s="309"/>
      <c r="N130" s="309"/>
      <c r="O130" s="309"/>
      <c r="P130" s="309"/>
      <c r="Q130" s="309"/>
      <c r="R130" s="309"/>
      <c r="S130" s="309"/>
      <c r="T130" s="309"/>
      <c r="U130" s="309"/>
      <c r="V130" s="309"/>
      <c r="W130" s="309"/>
      <c r="X130" s="309"/>
      <c r="Y130" s="309"/>
      <c r="Z130" s="309"/>
      <c r="AA130" s="309"/>
      <c r="AB130" s="309"/>
      <c r="AC130" s="309"/>
      <c r="AD130" s="309"/>
      <c r="AE130" s="309"/>
      <c r="AF130" s="309"/>
      <c r="AG130" s="309"/>
      <c r="AH130" s="309"/>
      <c r="AI130" s="309"/>
      <c r="AJ130" s="309"/>
      <c r="AK130" s="309"/>
      <c r="AL130" s="309"/>
      <c r="AM130" s="309"/>
      <c r="AN130" s="309"/>
      <c r="AO130" s="309"/>
      <c r="AP130" s="309"/>
      <c r="AQ130" s="309"/>
      <c r="AR130" s="309"/>
      <c r="AS130" s="309"/>
      <c r="AT130" s="309"/>
      <c r="AU130" s="309"/>
      <c r="AV130" s="309"/>
      <c r="AW130" s="309"/>
      <c r="AX130" s="309"/>
      <c r="AY130" s="309"/>
      <c r="AZ130" s="309"/>
      <c r="BA130" s="309"/>
      <c r="BB130" s="309"/>
      <c r="BC130" s="309"/>
      <c r="BD130" s="309"/>
      <c r="BE130" s="309"/>
      <c r="BF130" s="309"/>
      <c r="BG130" s="309"/>
      <c r="BH130" s="309"/>
      <c r="BI130" s="309"/>
      <c r="BJ130" s="309"/>
      <c r="BK130" s="309"/>
      <c r="BL130" s="309"/>
      <c r="BM130" s="309"/>
      <c r="BN130" s="309"/>
      <c r="BO130" s="309"/>
      <c r="BP130" s="309"/>
      <c r="BQ130" s="309"/>
      <c r="BR130" s="309"/>
      <c r="BS130" s="309"/>
      <c r="BT130" s="309"/>
      <c r="BU130" s="309"/>
      <c r="BV130" s="309"/>
      <c r="BW130" s="309"/>
      <c r="BX130" s="309"/>
    </row>
    <row r="131" spans="3:76" outlineLevel="1">
      <c r="C131" s="308" t="s">
        <v>265</v>
      </c>
      <c r="D131" s="317"/>
      <c r="E131" s="309">
        <f t="shared" ref="E131:BX131" si="55">-E57</f>
        <v>0</v>
      </c>
      <c r="F131" s="309">
        <f t="shared" si="55"/>
        <v>0</v>
      </c>
      <c r="G131" s="309">
        <f t="shared" si="55"/>
        <v>0</v>
      </c>
      <c r="H131" s="309">
        <f t="shared" si="55"/>
        <v>0</v>
      </c>
      <c r="I131" s="309">
        <f t="shared" si="55"/>
        <v>0</v>
      </c>
      <c r="J131" s="309">
        <f t="shared" si="55"/>
        <v>0</v>
      </c>
      <c r="K131" s="309">
        <f t="shared" si="55"/>
        <v>0</v>
      </c>
      <c r="L131" s="309">
        <f t="shared" si="55"/>
        <v>0</v>
      </c>
      <c r="M131" s="309">
        <f t="shared" si="55"/>
        <v>0</v>
      </c>
      <c r="N131" s="309">
        <f t="shared" si="55"/>
        <v>0</v>
      </c>
      <c r="O131" s="309">
        <f t="shared" si="55"/>
        <v>0</v>
      </c>
      <c r="P131" s="309">
        <f t="shared" si="55"/>
        <v>0</v>
      </c>
      <c r="Q131" s="309">
        <f t="shared" si="55"/>
        <v>0</v>
      </c>
      <c r="R131" s="309">
        <f t="shared" si="55"/>
        <v>0</v>
      </c>
      <c r="S131" s="309">
        <f t="shared" si="55"/>
        <v>0</v>
      </c>
      <c r="T131" s="309">
        <f t="shared" si="55"/>
        <v>0</v>
      </c>
      <c r="U131" s="309">
        <f t="shared" si="55"/>
        <v>0</v>
      </c>
      <c r="V131" s="309">
        <f t="shared" si="55"/>
        <v>0</v>
      </c>
      <c r="W131" s="309">
        <f t="shared" si="55"/>
        <v>0</v>
      </c>
      <c r="X131" s="309">
        <f t="shared" si="55"/>
        <v>0</v>
      </c>
      <c r="Y131" s="309">
        <f t="shared" si="55"/>
        <v>0</v>
      </c>
      <c r="Z131" s="309">
        <f t="shared" si="55"/>
        <v>0</v>
      </c>
      <c r="AA131" s="309">
        <f t="shared" si="55"/>
        <v>0</v>
      </c>
      <c r="AB131" s="309">
        <f t="shared" si="55"/>
        <v>0</v>
      </c>
      <c r="AC131" s="309">
        <f t="shared" si="55"/>
        <v>0</v>
      </c>
      <c r="AD131" s="309">
        <f t="shared" si="55"/>
        <v>0</v>
      </c>
      <c r="AE131" s="309">
        <f t="shared" si="55"/>
        <v>0</v>
      </c>
      <c r="AF131" s="309">
        <f t="shared" si="55"/>
        <v>0</v>
      </c>
      <c r="AG131" s="309">
        <f t="shared" si="55"/>
        <v>0</v>
      </c>
      <c r="AH131" s="309">
        <f t="shared" si="55"/>
        <v>0</v>
      </c>
      <c r="AI131" s="309">
        <f t="shared" si="55"/>
        <v>0</v>
      </c>
      <c r="AJ131" s="309">
        <f t="shared" si="55"/>
        <v>0</v>
      </c>
      <c r="AK131" s="309">
        <f t="shared" si="55"/>
        <v>0</v>
      </c>
      <c r="AL131" s="309">
        <f t="shared" si="55"/>
        <v>0</v>
      </c>
      <c r="AM131" s="309">
        <f t="shared" si="55"/>
        <v>0</v>
      </c>
      <c r="AN131" s="309">
        <f t="shared" si="55"/>
        <v>0</v>
      </c>
      <c r="AO131" s="309">
        <f t="shared" si="55"/>
        <v>0</v>
      </c>
      <c r="AP131" s="309">
        <f t="shared" si="55"/>
        <v>0</v>
      </c>
      <c r="AQ131" s="309">
        <f t="shared" si="55"/>
        <v>0</v>
      </c>
      <c r="AR131" s="309">
        <f t="shared" si="55"/>
        <v>0</v>
      </c>
      <c r="AS131" s="309">
        <f t="shared" si="55"/>
        <v>0</v>
      </c>
      <c r="AT131" s="309">
        <f t="shared" si="55"/>
        <v>0</v>
      </c>
      <c r="AU131" s="309">
        <f t="shared" si="55"/>
        <v>0</v>
      </c>
      <c r="AV131" s="309">
        <f t="shared" si="55"/>
        <v>0</v>
      </c>
      <c r="AW131" s="309">
        <f t="shared" si="55"/>
        <v>0</v>
      </c>
      <c r="AX131" s="309">
        <f t="shared" si="55"/>
        <v>0</v>
      </c>
      <c r="AY131" s="309">
        <f t="shared" si="55"/>
        <v>0</v>
      </c>
      <c r="AZ131" s="309">
        <f t="shared" si="55"/>
        <v>0</v>
      </c>
      <c r="BA131" s="309">
        <f t="shared" si="55"/>
        <v>0</v>
      </c>
      <c r="BB131" s="309">
        <f t="shared" si="55"/>
        <v>0</v>
      </c>
      <c r="BC131" s="309">
        <f t="shared" si="55"/>
        <v>0</v>
      </c>
      <c r="BD131" s="309">
        <f t="shared" si="55"/>
        <v>0</v>
      </c>
      <c r="BE131" s="309">
        <f t="shared" si="55"/>
        <v>0</v>
      </c>
      <c r="BF131" s="309">
        <f t="shared" si="55"/>
        <v>0</v>
      </c>
      <c r="BG131" s="309">
        <f t="shared" si="55"/>
        <v>0</v>
      </c>
      <c r="BH131" s="309">
        <f t="shared" si="55"/>
        <v>0</v>
      </c>
      <c r="BI131" s="309">
        <f t="shared" si="55"/>
        <v>0</v>
      </c>
      <c r="BJ131" s="309">
        <f t="shared" si="55"/>
        <v>0</v>
      </c>
      <c r="BK131" s="309">
        <f t="shared" si="55"/>
        <v>0</v>
      </c>
      <c r="BL131" s="309">
        <f t="shared" si="55"/>
        <v>0</v>
      </c>
      <c r="BM131" s="309">
        <f t="shared" si="55"/>
        <v>0</v>
      </c>
      <c r="BN131" s="309">
        <f t="shared" si="55"/>
        <v>0</v>
      </c>
      <c r="BO131" s="309">
        <f t="shared" si="55"/>
        <v>0</v>
      </c>
      <c r="BP131" s="309">
        <f t="shared" si="55"/>
        <v>0</v>
      </c>
      <c r="BQ131" s="309">
        <f t="shared" si="55"/>
        <v>0</v>
      </c>
      <c r="BR131" s="309">
        <f t="shared" si="55"/>
        <v>0</v>
      </c>
      <c r="BS131" s="309">
        <f t="shared" si="55"/>
        <v>0</v>
      </c>
      <c r="BT131" s="309">
        <f t="shared" si="55"/>
        <v>0</v>
      </c>
      <c r="BU131" s="309">
        <f t="shared" si="55"/>
        <v>0</v>
      </c>
      <c r="BV131" s="309">
        <f t="shared" si="55"/>
        <v>0</v>
      </c>
      <c r="BW131" s="309">
        <f t="shared" si="55"/>
        <v>0</v>
      </c>
      <c r="BX131" s="309">
        <f t="shared" si="55"/>
        <v>0</v>
      </c>
    </row>
    <row r="132" spans="3:76" outlineLevel="1">
      <c r="C132" s="308" t="s">
        <v>266</v>
      </c>
      <c r="D132" s="317"/>
      <c r="E132" s="309"/>
      <c r="F132" s="309"/>
      <c r="G132" s="309"/>
      <c r="H132" s="309"/>
      <c r="I132" s="309"/>
      <c r="J132" s="309"/>
      <c r="K132" s="309"/>
      <c r="L132" s="309"/>
      <c r="M132" s="309"/>
      <c r="N132" s="309"/>
      <c r="O132" s="309"/>
      <c r="P132" s="309"/>
      <c r="Q132" s="309"/>
      <c r="R132" s="309"/>
      <c r="S132" s="309"/>
      <c r="T132" s="309"/>
      <c r="U132" s="309"/>
      <c r="V132" s="309"/>
      <c r="W132" s="309"/>
      <c r="X132" s="309"/>
      <c r="Y132" s="309"/>
      <c r="Z132" s="309"/>
      <c r="AA132" s="309"/>
      <c r="AB132" s="309"/>
      <c r="AC132" s="309"/>
      <c r="AD132" s="309"/>
      <c r="AE132" s="309"/>
      <c r="AF132" s="309"/>
      <c r="AG132" s="309"/>
      <c r="AH132" s="309"/>
      <c r="AI132" s="309"/>
      <c r="AJ132" s="309"/>
      <c r="AK132" s="309"/>
      <c r="AL132" s="309"/>
      <c r="AM132" s="309"/>
      <c r="AN132" s="309"/>
      <c r="AO132" s="309"/>
      <c r="AP132" s="309"/>
      <c r="AQ132" s="309"/>
      <c r="AR132" s="309"/>
      <c r="AS132" s="309"/>
      <c r="AT132" s="309"/>
      <c r="AU132" s="309"/>
      <c r="AV132" s="309"/>
      <c r="AW132" s="309"/>
      <c r="AX132" s="309"/>
      <c r="AY132" s="309"/>
      <c r="AZ132" s="309"/>
      <c r="BA132" s="309"/>
      <c r="BB132" s="309"/>
      <c r="BC132" s="309"/>
      <c r="BD132" s="309"/>
      <c r="BE132" s="309"/>
      <c r="BF132" s="309"/>
      <c r="BG132" s="309"/>
      <c r="BH132" s="309"/>
      <c r="BI132" s="309"/>
      <c r="BJ132" s="309"/>
      <c r="BK132" s="309"/>
      <c r="BL132" s="309"/>
      <c r="BM132" s="309"/>
      <c r="BN132" s="309"/>
      <c r="BO132" s="309"/>
      <c r="BP132" s="309"/>
      <c r="BQ132" s="309"/>
      <c r="BR132" s="309"/>
      <c r="BS132" s="309"/>
      <c r="BT132" s="309"/>
      <c r="BU132" s="309"/>
      <c r="BV132" s="309"/>
      <c r="BW132" s="309"/>
      <c r="BX132" s="309">
        <f>IF(D90&gt;0.25,(BX84-BX93)*D133,BX84*D133)</f>
        <v>0</v>
      </c>
    </row>
    <row r="133" spans="3:76" outlineLevel="1">
      <c r="C133" s="311" t="s">
        <v>267</v>
      </c>
      <c r="D133" s="317">
        <v>0</v>
      </c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  <c r="R133" s="250"/>
      <c r="S133" s="250"/>
      <c r="T133" s="250"/>
      <c r="U133" s="250"/>
      <c r="V133" s="250"/>
      <c r="W133" s="250"/>
      <c r="X133" s="250"/>
      <c r="Y133" s="250"/>
      <c r="Z133" s="250"/>
      <c r="AA133" s="250"/>
      <c r="AB133" s="250"/>
      <c r="AC133" s="250"/>
      <c r="AD133" s="250"/>
      <c r="AE133" s="250"/>
      <c r="AF133" s="250"/>
      <c r="AG133" s="250"/>
      <c r="AH133" s="250"/>
      <c r="AI133" s="250"/>
      <c r="AJ133" s="250"/>
      <c r="AK133" s="250"/>
      <c r="AL133" s="250"/>
      <c r="AM133" s="250"/>
      <c r="AN133" s="250"/>
      <c r="AO133" s="250"/>
      <c r="AP133" s="250"/>
      <c r="AQ133" s="250"/>
      <c r="AR133" s="250"/>
      <c r="AS133" s="250"/>
      <c r="AT133" s="250"/>
      <c r="AU133" s="250"/>
      <c r="AV133" s="250"/>
      <c r="AW133" s="250"/>
      <c r="AX133" s="250"/>
      <c r="AY133" s="250"/>
      <c r="AZ133" s="250"/>
      <c r="BA133" s="250"/>
      <c r="BB133" s="250"/>
      <c r="BC133" s="250"/>
      <c r="BD133" s="250"/>
      <c r="BE133" s="250"/>
      <c r="BF133" s="250"/>
      <c r="BG133" s="250"/>
      <c r="BH133" s="250"/>
      <c r="BI133" s="250"/>
      <c r="BJ133" s="250"/>
      <c r="BK133" s="250"/>
      <c r="BL133" s="250"/>
      <c r="BM133" s="250"/>
      <c r="BN133" s="250"/>
      <c r="BO133" s="250"/>
      <c r="BP133" s="250"/>
      <c r="BQ133" s="250"/>
      <c r="BR133" s="250"/>
      <c r="BS133" s="250"/>
      <c r="BT133" s="250"/>
      <c r="BU133" s="250"/>
      <c r="BV133" s="250"/>
      <c r="BW133" s="250"/>
      <c r="BX133" s="250"/>
    </row>
    <row r="134" spans="3:76" outlineLevel="1">
      <c r="C134" s="308" t="s">
        <v>268</v>
      </c>
      <c r="D134" s="309"/>
      <c r="E134" s="319">
        <f t="shared" ref="E134:BX134" si="56">E129+E130+E131+E132+E133</f>
        <v>0</v>
      </c>
      <c r="F134" s="319">
        <f t="shared" si="56"/>
        <v>0</v>
      </c>
      <c r="G134" s="319">
        <f t="shared" si="56"/>
        <v>0</v>
      </c>
      <c r="H134" s="319">
        <f t="shared" si="56"/>
        <v>0</v>
      </c>
      <c r="I134" s="319">
        <f t="shared" si="56"/>
        <v>0</v>
      </c>
      <c r="J134" s="319">
        <f t="shared" si="56"/>
        <v>0</v>
      </c>
      <c r="K134" s="319">
        <f t="shared" si="56"/>
        <v>0</v>
      </c>
      <c r="L134" s="319">
        <f t="shared" si="56"/>
        <v>0</v>
      </c>
      <c r="M134" s="319">
        <f t="shared" si="56"/>
        <v>0</v>
      </c>
      <c r="N134" s="319">
        <f t="shared" si="56"/>
        <v>0</v>
      </c>
      <c r="O134" s="319">
        <f t="shared" si="56"/>
        <v>0</v>
      </c>
      <c r="P134" s="319">
        <f t="shared" si="56"/>
        <v>0</v>
      </c>
      <c r="Q134" s="319">
        <f t="shared" si="56"/>
        <v>0</v>
      </c>
      <c r="R134" s="319">
        <f t="shared" si="56"/>
        <v>0</v>
      </c>
      <c r="S134" s="319">
        <f t="shared" si="56"/>
        <v>0</v>
      </c>
      <c r="T134" s="319">
        <f t="shared" si="56"/>
        <v>0</v>
      </c>
      <c r="U134" s="319">
        <f t="shared" si="56"/>
        <v>0</v>
      </c>
      <c r="V134" s="319">
        <f t="shared" si="56"/>
        <v>0</v>
      </c>
      <c r="W134" s="319">
        <f t="shared" si="56"/>
        <v>0</v>
      </c>
      <c r="X134" s="319">
        <f t="shared" si="56"/>
        <v>0</v>
      </c>
      <c r="Y134" s="319">
        <f t="shared" si="56"/>
        <v>0</v>
      </c>
      <c r="Z134" s="319">
        <f t="shared" si="56"/>
        <v>0</v>
      </c>
      <c r="AA134" s="319">
        <f t="shared" si="56"/>
        <v>0</v>
      </c>
      <c r="AB134" s="319">
        <f t="shared" si="56"/>
        <v>0</v>
      </c>
      <c r="AC134" s="319">
        <f t="shared" si="56"/>
        <v>0</v>
      </c>
      <c r="AD134" s="319">
        <f t="shared" si="56"/>
        <v>0</v>
      </c>
      <c r="AE134" s="319">
        <f t="shared" si="56"/>
        <v>0</v>
      </c>
      <c r="AF134" s="319">
        <f t="shared" si="56"/>
        <v>0</v>
      </c>
      <c r="AG134" s="319">
        <f t="shared" si="56"/>
        <v>0</v>
      </c>
      <c r="AH134" s="319">
        <f t="shared" si="56"/>
        <v>0</v>
      </c>
      <c r="AI134" s="319">
        <f t="shared" si="56"/>
        <v>0</v>
      </c>
      <c r="AJ134" s="319">
        <f t="shared" si="56"/>
        <v>0</v>
      </c>
      <c r="AK134" s="319">
        <f t="shared" si="56"/>
        <v>0</v>
      </c>
      <c r="AL134" s="319">
        <f t="shared" si="56"/>
        <v>0</v>
      </c>
      <c r="AM134" s="319">
        <f t="shared" si="56"/>
        <v>0</v>
      </c>
      <c r="AN134" s="319">
        <f t="shared" si="56"/>
        <v>0</v>
      </c>
      <c r="AO134" s="319">
        <f t="shared" si="56"/>
        <v>0</v>
      </c>
      <c r="AP134" s="319">
        <f t="shared" si="56"/>
        <v>0</v>
      </c>
      <c r="AQ134" s="319">
        <f t="shared" si="56"/>
        <v>0</v>
      </c>
      <c r="AR134" s="319">
        <f t="shared" si="56"/>
        <v>0</v>
      </c>
      <c r="AS134" s="319">
        <f t="shared" si="56"/>
        <v>0</v>
      </c>
      <c r="AT134" s="319">
        <f t="shared" si="56"/>
        <v>0</v>
      </c>
      <c r="AU134" s="319">
        <f t="shared" si="56"/>
        <v>0</v>
      </c>
      <c r="AV134" s="319">
        <f t="shared" si="56"/>
        <v>0</v>
      </c>
      <c r="AW134" s="319">
        <f t="shared" si="56"/>
        <v>0</v>
      </c>
      <c r="AX134" s="319">
        <f t="shared" si="56"/>
        <v>0</v>
      </c>
      <c r="AY134" s="319">
        <f t="shared" si="56"/>
        <v>0</v>
      </c>
      <c r="AZ134" s="319">
        <f t="shared" si="56"/>
        <v>0</v>
      </c>
      <c r="BA134" s="319">
        <f t="shared" si="56"/>
        <v>0</v>
      </c>
      <c r="BB134" s="319">
        <f t="shared" si="56"/>
        <v>0</v>
      </c>
      <c r="BC134" s="319">
        <f t="shared" si="56"/>
        <v>0</v>
      </c>
      <c r="BD134" s="319">
        <f t="shared" si="56"/>
        <v>0</v>
      </c>
      <c r="BE134" s="319">
        <f t="shared" si="56"/>
        <v>0</v>
      </c>
      <c r="BF134" s="319">
        <f t="shared" si="56"/>
        <v>0</v>
      </c>
      <c r="BG134" s="319">
        <f t="shared" si="56"/>
        <v>0</v>
      </c>
      <c r="BH134" s="319">
        <f t="shared" si="56"/>
        <v>0</v>
      </c>
      <c r="BI134" s="319">
        <f t="shared" si="56"/>
        <v>0</v>
      </c>
      <c r="BJ134" s="319">
        <f t="shared" si="56"/>
        <v>0</v>
      </c>
      <c r="BK134" s="319">
        <f t="shared" si="56"/>
        <v>0</v>
      </c>
      <c r="BL134" s="319">
        <f t="shared" si="56"/>
        <v>0</v>
      </c>
      <c r="BM134" s="319">
        <f t="shared" si="56"/>
        <v>0</v>
      </c>
      <c r="BN134" s="319">
        <f t="shared" si="56"/>
        <v>0</v>
      </c>
      <c r="BO134" s="319">
        <f t="shared" si="56"/>
        <v>0</v>
      </c>
      <c r="BP134" s="319">
        <f t="shared" si="56"/>
        <v>0</v>
      </c>
      <c r="BQ134" s="319">
        <f t="shared" si="56"/>
        <v>0</v>
      </c>
      <c r="BR134" s="319">
        <f t="shared" si="56"/>
        <v>0</v>
      </c>
      <c r="BS134" s="319">
        <f t="shared" si="56"/>
        <v>0</v>
      </c>
      <c r="BT134" s="319">
        <f t="shared" si="56"/>
        <v>0</v>
      </c>
      <c r="BU134" s="319">
        <f t="shared" si="56"/>
        <v>0</v>
      </c>
      <c r="BV134" s="319">
        <f t="shared" si="56"/>
        <v>0</v>
      </c>
      <c r="BW134" s="319">
        <f t="shared" si="56"/>
        <v>0</v>
      </c>
      <c r="BX134" s="319">
        <f t="shared" si="56"/>
        <v>0</v>
      </c>
    </row>
    <row r="135" spans="3:76" outlineLevel="1">
      <c r="C135" s="312"/>
      <c r="D135" s="322" t="s">
        <v>275</v>
      </c>
      <c r="E135" s="321">
        <f>E134</f>
        <v>0</v>
      </c>
      <c r="F135" s="321">
        <f t="shared" ref="F135:BX135" si="57">E135+F134</f>
        <v>0</v>
      </c>
      <c r="G135" s="321">
        <f t="shared" si="57"/>
        <v>0</v>
      </c>
      <c r="H135" s="321">
        <f t="shared" si="57"/>
        <v>0</v>
      </c>
      <c r="I135" s="321">
        <f t="shared" si="57"/>
        <v>0</v>
      </c>
      <c r="J135" s="321">
        <f t="shared" si="57"/>
        <v>0</v>
      </c>
      <c r="K135" s="321">
        <f t="shared" si="57"/>
        <v>0</v>
      </c>
      <c r="L135" s="321">
        <f t="shared" si="57"/>
        <v>0</v>
      </c>
      <c r="M135" s="321">
        <f t="shared" si="57"/>
        <v>0</v>
      </c>
      <c r="N135" s="321">
        <f t="shared" si="57"/>
        <v>0</v>
      </c>
      <c r="O135" s="321">
        <f t="shared" si="57"/>
        <v>0</v>
      </c>
      <c r="P135" s="321">
        <f t="shared" si="57"/>
        <v>0</v>
      </c>
      <c r="Q135" s="321">
        <f t="shared" si="57"/>
        <v>0</v>
      </c>
      <c r="R135" s="321">
        <f t="shared" si="57"/>
        <v>0</v>
      </c>
      <c r="S135" s="321">
        <f t="shared" si="57"/>
        <v>0</v>
      </c>
      <c r="T135" s="321">
        <f t="shared" si="57"/>
        <v>0</v>
      </c>
      <c r="U135" s="321">
        <f t="shared" si="57"/>
        <v>0</v>
      </c>
      <c r="V135" s="321">
        <f t="shared" si="57"/>
        <v>0</v>
      </c>
      <c r="W135" s="321">
        <f t="shared" si="57"/>
        <v>0</v>
      </c>
      <c r="X135" s="321">
        <f t="shared" si="57"/>
        <v>0</v>
      </c>
      <c r="Y135" s="321">
        <f t="shared" si="57"/>
        <v>0</v>
      </c>
      <c r="Z135" s="321">
        <f t="shared" si="57"/>
        <v>0</v>
      </c>
      <c r="AA135" s="321">
        <f t="shared" si="57"/>
        <v>0</v>
      </c>
      <c r="AB135" s="321">
        <f t="shared" si="57"/>
        <v>0</v>
      </c>
      <c r="AC135" s="321">
        <f t="shared" si="57"/>
        <v>0</v>
      </c>
      <c r="AD135" s="321">
        <f t="shared" si="57"/>
        <v>0</v>
      </c>
      <c r="AE135" s="321">
        <f t="shared" si="57"/>
        <v>0</v>
      </c>
      <c r="AF135" s="321">
        <f t="shared" si="57"/>
        <v>0</v>
      </c>
      <c r="AG135" s="321">
        <f t="shared" si="57"/>
        <v>0</v>
      </c>
      <c r="AH135" s="321">
        <f t="shared" si="57"/>
        <v>0</v>
      </c>
      <c r="AI135" s="321">
        <f t="shared" si="57"/>
        <v>0</v>
      </c>
      <c r="AJ135" s="321">
        <f t="shared" si="57"/>
        <v>0</v>
      </c>
      <c r="AK135" s="321">
        <f t="shared" si="57"/>
        <v>0</v>
      </c>
      <c r="AL135" s="321">
        <f t="shared" si="57"/>
        <v>0</v>
      </c>
      <c r="AM135" s="321">
        <f t="shared" si="57"/>
        <v>0</v>
      </c>
      <c r="AN135" s="321">
        <f t="shared" si="57"/>
        <v>0</v>
      </c>
      <c r="AO135" s="321">
        <f t="shared" si="57"/>
        <v>0</v>
      </c>
      <c r="AP135" s="321">
        <f t="shared" si="57"/>
        <v>0</v>
      </c>
      <c r="AQ135" s="321">
        <f t="shared" si="57"/>
        <v>0</v>
      </c>
      <c r="AR135" s="321">
        <f t="shared" si="57"/>
        <v>0</v>
      </c>
      <c r="AS135" s="321">
        <f t="shared" si="57"/>
        <v>0</v>
      </c>
      <c r="AT135" s="321">
        <f t="shared" si="57"/>
        <v>0</v>
      </c>
      <c r="AU135" s="321">
        <f t="shared" si="57"/>
        <v>0</v>
      </c>
      <c r="AV135" s="321">
        <f t="shared" si="57"/>
        <v>0</v>
      </c>
      <c r="AW135" s="321">
        <f t="shared" si="57"/>
        <v>0</v>
      </c>
      <c r="AX135" s="321">
        <f t="shared" si="57"/>
        <v>0</v>
      </c>
      <c r="AY135" s="321">
        <f t="shared" si="57"/>
        <v>0</v>
      </c>
      <c r="AZ135" s="321">
        <f t="shared" si="57"/>
        <v>0</v>
      </c>
      <c r="BA135" s="321">
        <f t="shared" si="57"/>
        <v>0</v>
      </c>
      <c r="BB135" s="321">
        <f t="shared" si="57"/>
        <v>0</v>
      </c>
      <c r="BC135" s="321">
        <f t="shared" si="57"/>
        <v>0</v>
      </c>
      <c r="BD135" s="321">
        <f t="shared" si="57"/>
        <v>0</v>
      </c>
      <c r="BE135" s="321">
        <f t="shared" si="57"/>
        <v>0</v>
      </c>
      <c r="BF135" s="321">
        <f t="shared" si="57"/>
        <v>0</v>
      </c>
      <c r="BG135" s="321">
        <f t="shared" si="57"/>
        <v>0</v>
      </c>
      <c r="BH135" s="321">
        <f t="shared" si="57"/>
        <v>0</v>
      </c>
      <c r="BI135" s="321">
        <f t="shared" si="57"/>
        <v>0</v>
      </c>
      <c r="BJ135" s="321">
        <f t="shared" si="57"/>
        <v>0</v>
      </c>
      <c r="BK135" s="321">
        <f t="shared" si="57"/>
        <v>0</v>
      </c>
      <c r="BL135" s="321">
        <f t="shared" si="57"/>
        <v>0</v>
      </c>
      <c r="BM135" s="321">
        <f t="shared" si="57"/>
        <v>0</v>
      </c>
      <c r="BN135" s="321">
        <f t="shared" si="57"/>
        <v>0</v>
      </c>
      <c r="BO135" s="321">
        <f t="shared" si="57"/>
        <v>0</v>
      </c>
      <c r="BP135" s="321">
        <f t="shared" si="57"/>
        <v>0</v>
      </c>
      <c r="BQ135" s="321">
        <f t="shared" si="57"/>
        <v>0</v>
      </c>
      <c r="BR135" s="321">
        <f t="shared" si="57"/>
        <v>0</v>
      </c>
      <c r="BS135" s="321">
        <f t="shared" si="57"/>
        <v>0</v>
      </c>
      <c r="BT135" s="321">
        <f t="shared" si="57"/>
        <v>0</v>
      </c>
      <c r="BU135" s="321">
        <f t="shared" si="57"/>
        <v>0</v>
      </c>
      <c r="BV135" s="321">
        <f t="shared" si="57"/>
        <v>0</v>
      </c>
      <c r="BW135" s="321">
        <f t="shared" si="57"/>
        <v>0</v>
      </c>
      <c r="BX135" s="321">
        <f t="shared" si="57"/>
        <v>0</v>
      </c>
    </row>
    <row r="136" spans="3:76" outlineLevel="1">
      <c r="C136" s="311" t="s">
        <v>261</v>
      </c>
      <c r="D136" s="322" t="e">
        <f>IRR(E134:BX134)*12</f>
        <v>#NUM!</v>
      </c>
      <c r="E136" s="229"/>
      <c r="F136" s="229"/>
      <c r="G136" s="229"/>
      <c r="H136" s="229"/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  <c r="U136" s="229"/>
      <c r="V136" s="229"/>
      <c r="W136" s="229"/>
      <c r="X136" s="229"/>
      <c r="Y136" s="229"/>
      <c r="Z136" s="229"/>
      <c r="AA136" s="229"/>
      <c r="AB136" s="229"/>
      <c r="AC136" s="229"/>
      <c r="AD136" s="229"/>
      <c r="AE136" s="229"/>
      <c r="AF136" s="229"/>
      <c r="AG136" s="229"/>
      <c r="AH136" s="229"/>
      <c r="AI136" s="229"/>
      <c r="AJ136" s="229"/>
      <c r="AK136" s="229"/>
      <c r="AL136" s="229"/>
      <c r="AM136" s="229"/>
      <c r="AN136" s="229"/>
      <c r="AO136" s="229"/>
      <c r="AP136" s="229"/>
      <c r="AQ136" s="229"/>
      <c r="AR136" s="229"/>
      <c r="AS136" s="229"/>
      <c r="AT136" s="229"/>
      <c r="AU136" s="229"/>
      <c r="AV136" s="229"/>
      <c r="AW136" s="229"/>
      <c r="AX136" s="229"/>
      <c r="AY136" s="229"/>
      <c r="AZ136" s="229"/>
      <c r="BA136" s="229"/>
      <c r="BB136" s="229"/>
      <c r="BC136" s="229"/>
      <c r="BD136" s="229"/>
      <c r="BE136" s="229"/>
      <c r="BF136" s="229"/>
      <c r="BG136" s="229"/>
      <c r="BH136" s="229"/>
      <c r="BI136" s="229"/>
      <c r="BJ136" s="229"/>
      <c r="BK136" s="229"/>
      <c r="BL136" s="229"/>
      <c r="BM136" s="229"/>
      <c r="BN136" s="229"/>
      <c r="BO136" s="229"/>
      <c r="BP136" s="229"/>
      <c r="BQ136" s="229"/>
      <c r="BR136" s="229"/>
      <c r="BS136" s="229"/>
      <c r="BT136" s="229"/>
      <c r="BU136" s="229"/>
      <c r="BV136" s="229"/>
      <c r="BW136" s="229"/>
      <c r="BX136" s="229"/>
    </row>
    <row r="137" spans="3:76" outlineLevel="1">
      <c r="C137" s="323" t="s">
        <v>269</v>
      </c>
      <c r="D137" s="324">
        <f>-MIN(M135:BL135)-D138</f>
        <v>0</v>
      </c>
      <c r="E137" s="229"/>
      <c r="F137" s="229"/>
      <c r="G137" s="229"/>
      <c r="H137" s="229"/>
      <c r="I137" s="229"/>
      <c r="J137" s="229"/>
      <c r="K137" s="229"/>
      <c r="L137" s="229"/>
      <c r="M137" s="229"/>
      <c r="N137" s="229"/>
      <c r="O137" s="229"/>
      <c r="P137" s="229"/>
      <c r="Q137" s="229"/>
      <c r="R137" s="229"/>
      <c r="S137" s="229"/>
      <c r="T137" s="229"/>
      <c r="U137" s="229"/>
      <c r="V137" s="229"/>
      <c r="W137" s="229"/>
      <c r="X137" s="229"/>
      <c r="Y137" s="229"/>
      <c r="Z137" s="229"/>
      <c r="AA137" s="229"/>
      <c r="AB137" s="229"/>
      <c r="AC137" s="229"/>
      <c r="AD137" s="229"/>
      <c r="AE137" s="229"/>
      <c r="AF137" s="229"/>
      <c r="AG137" s="229"/>
      <c r="AH137" s="229"/>
      <c r="AI137" s="229"/>
      <c r="AJ137" s="229"/>
      <c r="AK137" s="229"/>
      <c r="AL137" s="229"/>
      <c r="AM137" s="229"/>
      <c r="AN137" s="229"/>
      <c r="AO137" s="229"/>
      <c r="AP137" s="229"/>
      <c r="AQ137" s="229"/>
      <c r="AR137" s="229"/>
      <c r="AS137" s="229"/>
      <c r="AT137" s="229"/>
      <c r="AU137" s="229"/>
      <c r="AV137" s="229"/>
      <c r="AW137" s="229"/>
      <c r="AX137" s="229"/>
      <c r="AY137" s="229"/>
      <c r="AZ137" s="229"/>
      <c r="BA137" s="229"/>
      <c r="BB137" s="229"/>
      <c r="BC137" s="229"/>
      <c r="BD137" s="229"/>
      <c r="BE137" s="229"/>
      <c r="BF137" s="229"/>
      <c r="BG137" s="229"/>
      <c r="BH137" s="229"/>
      <c r="BI137" s="229"/>
      <c r="BJ137" s="229"/>
      <c r="BK137" s="229"/>
      <c r="BL137" s="229"/>
      <c r="BM137" s="229"/>
      <c r="BN137" s="229"/>
      <c r="BO137" s="229"/>
      <c r="BP137" s="229"/>
      <c r="BQ137" s="229"/>
      <c r="BR137" s="229"/>
      <c r="BS137" s="229"/>
      <c r="BT137" s="229"/>
      <c r="BU137" s="229"/>
      <c r="BV137" s="229"/>
      <c r="BW137" s="229"/>
      <c r="BX137" s="229"/>
    </row>
    <row r="138" spans="3:76" outlineLevel="1">
      <c r="C138" s="323" t="s">
        <v>276</v>
      </c>
      <c r="D138" s="324">
        <f>-SUM(M133:BB133)</f>
        <v>0</v>
      </c>
      <c r="E138" s="229"/>
      <c r="F138" s="229"/>
      <c r="G138" s="229"/>
      <c r="H138" s="229"/>
      <c r="I138" s="229"/>
      <c r="J138" s="229"/>
      <c r="K138" s="229"/>
      <c r="L138" s="229"/>
      <c r="M138" s="229"/>
      <c r="N138" s="229"/>
      <c r="O138" s="229"/>
      <c r="P138" s="229"/>
      <c r="Q138" s="229"/>
      <c r="R138" s="229"/>
      <c r="S138" s="229"/>
      <c r="T138" s="229"/>
      <c r="U138" s="229"/>
      <c r="V138" s="229"/>
      <c r="W138" s="229"/>
      <c r="X138" s="229"/>
      <c r="Y138" s="229"/>
      <c r="Z138" s="229"/>
      <c r="AA138" s="229"/>
      <c r="AB138" s="229"/>
      <c r="AC138" s="229"/>
      <c r="AD138" s="229"/>
      <c r="AE138" s="229"/>
      <c r="AF138" s="229"/>
      <c r="AG138" s="229"/>
      <c r="AH138" s="229"/>
      <c r="AI138" s="229"/>
      <c r="AJ138" s="229"/>
      <c r="AK138" s="229"/>
      <c r="AL138" s="229"/>
      <c r="AM138" s="229"/>
      <c r="AN138" s="229"/>
      <c r="AO138" s="229"/>
      <c r="AP138" s="229"/>
      <c r="AQ138" s="229"/>
      <c r="AR138" s="229"/>
      <c r="AS138" s="229"/>
      <c r="AT138" s="229"/>
      <c r="AU138" s="229"/>
      <c r="AV138" s="229"/>
      <c r="AW138" s="229"/>
      <c r="AX138" s="229"/>
      <c r="AY138" s="229"/>
      <c r="AZ138" s="229"/>
      <c r="BA138" s="229"/>
      <c r="BB138" s="229"/>
      <c r="BC138" s="229"/>
      <c r="BD138" s="229"/>
      <c r="BE138" s="229"/>
      <c r="BF138" s="229"/>
      <c r="BG138" s="229"/>
      <c r="BH138" s="229"/>
      <c r="BI138" s="229"/>
      <c r="BJ138" s="229"/>
      <c r="BK138" s="229"/>
      <c r="BL138" s="229"/>
      <c r="BM138" s="229"/>
      <c r="BN138" s="229"/>
      <c r="BO138" s="229"/>
      <c r="BP138" s="229"/>
      <c r="BQ138" s="229"/>
      <c r="BR138" s="229"/>
      <c r="BS138" s="229"/>
      <c r="BT138" s="229"/>
      <c r="BU138" s="229"/>
      <c r="BV138" s="229"/>
      <c r="BW138" s="229"/>
      <c r="BX138" s="229"/>
    </row>
    <row r="139" spans="3:76" outlineLevel="1">
      <c r="C139" s="311" t="s">
        <v>270</v>
      </c>
      <c r="D139" s="325">
        <f>D138+D137</f>
        <v>0</v>
      </c>
      <c r="E139" s="229"/>
      <c r="F139" s="229"/>
      <c r="G139" s="229"/>
      <c r="H139" s="229"/>
      <c r="I139" s="229"/>
      <c r="J139" s="229"/>
      <c r="K139" s="229"/>
      <c r="L139" s="229"/>
      <c r="M139" s="229"/>
      <c r="N139" s="229"/>
      <c r="O139" s="229"/>
      <c r="P139" s="229"/>
      <c r="Q139" s="229"/>
      <c r="R139" s="229"/>
      <c r="S139" s="229"/>
      <c r="T139" s="229"/>
      <c r="U139" s="229"/>
      <c r="V139" s="229"/>
      <c r="W139" s="229"/>
      <c r="X139" s="229"/>
      <c r="Y139" s="229"/>
      <c r="Z139" s="229"/>
      <c r="AA139" s="229"/>
      <c r="AB139" s="229"/>
      <c r="AC139" s="229"/>
      <c r="AD139" s="229"/>
      <c r="AE139" s="229"/>
      <c r="AF139" s="229"/>
      <c r="AG139" s="229"/>
      <c r="AH139" s="229"/>
      <c r="AI139" s="229"/>
      <c r="AJ139" s="229"/>
      <c r="AK139" s="229"/>
      <c r="AL139" s="229"/>
      <c r="AM139" s="229"/>
      <c r="AN139" s="229"/>
      <c r="AO139" s="229"/>
      <c r="AP139" s="229"/>
      <c r="AQ139" s="229"/>
      <c r="AR139" s="229"/>
      <c r="AS139" s="229"/>
      <c r="AT139" s="229"/>
      <c r="AU139" s="229"/>
      <c r="AV139" s="229"/>
      <c r="AW139" s="229"/>
      <c r="AX139" s="229"/>
      <c r="AY139" s="229"/>
      <c r="AZ139" s="229"/>
      <c r="BA139" s="229"/>
      <c r="BB139" s="229"/>
      <c r="BC139" s="229"/>
      <c r="BD139" s="229"/>
      <c r="BE139" s="229"/>
      <c r="BF139" s="229"/>
      <c r="BG139" s="229"/>
      <c r="BH139" s="229"/>
      <c r="BI139" s="229"/>
      <c r="BJ139" s="229"/>
      <c r="BK139" s="229"/>
      <c r="BL139" s="229"/>
      <c r="BM139" s="229"/>
      <c r="BN139" s="229"/>
      <c r="BO139" s="229"/>
      <c r="BP139" s="229"/>
      <c r="BQ139" s="229"/>
      <c r="BR139" s="229"/>
      <c r="BS139" s="229"/>
      <c r="BT139" s="229"/>
      <c r="BU139" s="229"/>
      <c r="BV139" s="229"/>
      <c r="BW139" s="229"/>
      <c r="BX139" s="229"/>
    </row>
    <row r="140" spans="3:76" outlineLevel="1">
      <c r="C140" s="311" t="s">
        <v>271</v>
      </c>
      <c r="D140" s="325">
        <f>BX131+BX132</f>
        <v>0</v>
      </c>
      <c r="E140" s="229"/>
      <c r="F140" s="229"/>
      <c r="G140" s="229"/>
      <c r="H140" s="229"/>
      <c r="I140" s="229"/>
      <c r="J140" s="229"/>
      <c r="K140" s="229"/>
      <c r="L140" s="229"/>
      <c r="M140" s="229"/>
      <c r="N140" s="229"/>
      <c r="O140" s="229"/>
      <c r="P140" s="229"/>
      <c r="Q140" s="229"/>
      <c r="R140" s="229"/>
      <c r="S140" s="229"/>
      <c r="T140" s="229"/>
      <c r="U140" s="229"/>
      <c r="V140" s="229"/>
      <c r="W140" s="229"/>
      <c r="X140" s="229"/>
      <c r="Y140" s="229"/>
      <c r="Z140" s="229"/>
      <c r="AA140" s="229"/>
      <c r="AB140" s="229"/>
      <c r="AC140" s="229"/>
      <c r="AD140" s="229"/>
      <c r="AE140" s="229"/>
      <c r="AF140" s="229"/>
      <c r="AG140" s="229"/>
      <c r="AH140" s="229"/>
      <c r="AI140" s="229"/>
      <c r="AJ140" s="229"/>
      <c r="AK140" s="229"/>
      <c r="AL140" s="229"/>
      <c r="AM140" s="229"/>
      <c r="AN140" s="229"/>
      <c r="AO140" s="229"/>
      <c r="AP140" s="229"/>
      <c r="AQ140" s="229"/>
      <c r="AR140" s="229"/>
      <c r="AS140" s="229"/>
      <c r="AT140" s="229"/>
      <c r="AU140" s="229"/>
      <c r="AV140" s="229"/>
      <c r="AW140" s="229"/>
      <c r="AX140" s="229"/>
      <c r="AY140" s="229"/>
      <c r="AZ140" s="229"/>
      <c r="BA140" s="229"/>
      <c r="BB140" s="229"/>
      <c r="BC140" s="229"/>
      <c r="BD140" s="229"/>
      <c r="BE140" s="229"/>
      <c r="BF140" s="229"/>
      <c r="BG140" s="229"/>
      <c r="BH140" s="229"/>
      <c r="BI140" s="229"/>
      <c r="BJ140" s="229"/>
      <c r="BK140" s="229"/>
      <c r="BL140" s="229"/>
      <c r="BM140" s="229"/>
      <c r="BN140" s="229"/>
      <c r="BO140" s="229"/>
      <c r="BP140" s="229"/>
      <c r="BQ140" s="229"/>
      <c r="BR140" s="229"/>
      <c r="BS140" s="229"/>
      <c r="BT140" s="229"/>
      <c r="BU140" s="229"/>
      <c r="BV140" s="229"/>
      <c r="BW140" s="229"/>
      <c r="BX140" s="229"/>
    </row>
    <row r="141" spans="3:76" outlineLevel="1">
      <c r="C141" s="311" t="s">
        <v>272</v>
      </c>
      <c r="D141" s="322" t="e">
        <f>(D140-D138)/D139</f>
        <v>#DIV/0!</v>
      </c>
      <c r="E141" s="229"/>
      <c r="F141" s="229"/>
      <c r="G141" s="229"/>
      <c r="H141" s="229"/>
      <c r="I141" s="229"/>
      <c r="J141" s="229"/>
      <c r="K141" s="229"/>
      <c r="L141" s="229"/>
      <c r="M141" s="229"/>
      <c r="N141" s="229"/>
      <c r="O141" s="229"/>
      <c r="P141" s="229"/>
      <c r="Q141" s="229"/>
      <c r="R141" s="229"/>
      <c r="S141" s="229"/>
      <c r="T141" s="229"/>
      <c r="U141" s="229"/>
      <c r="V141" s="229"/>
      <c r="W141" s="229"/>
      <c r="X141" s="229"/>
      <c r="Y141" s="229"/>
      <c r="Z141" s="229"/>
      <c r="AA141" s="229"/>
      <c r="AB141" s="229"/>
      <c r="AC141" s="229"/>
      <c r="AD141" s="229"/>
      <c r="AE141" s="229"/>
      <c r="AF141" s="229"/>
      <c r="AG141" s="229"/>
      <c r="AH141" s="229"/>
      <c r="AI141" s="229"/>
      <c r="AJ141" s="229"/>
      <c r="AK141" s="229"/>
      <c r="AL141" s="229"/>
      <c r="AM141" s="229"/>
      <c r="AN141" s="229"/>
      <c r="AO141" s="229"/>
      <c r="AP141" s="229"/>
      <c r="AQ141" s="229"/>
      <c r="AR141" s="229"/>
      <c r="AS141" s="229"/>
      <c r="AT141" s="229"/>
      <c r="AU141" s="229"/>
      <c r="AV141" s="229"/>
      <c r="AW141" s="229"/>
      <c r="AX141" s="229"/>
      <c r="AY141" s="229"/>
      <c r="AZ141" s="229"/>
      <c r="BA141" s="229"/>
      <c r="BB141" s="229"/>
      <c r="BC141" s="229"/>
      <c r="BD141" s="229"/>
      <c r="BE141" s="229"/>
      <c r="BF141" s="229"/>
      <c r="BG141" s="229"/>
      <c r="BH141" s="229"/>
      <c r="BI141" s="229"/>
      <c r="BJ141" s="229"/>
      <c r="BK141" s="229"/>
      <c r="BL141" s="229"/>
      <c r="BM141" s="229"/>
      <c r="BN141" s="229"/>
      <c r="BO141" s="229"/>
      <c r="BP141" s="229"/>
      <c r="BQ141" s="229"/>
      <c r="BR141" s="229"/>
      <c r="BS141" s="229"/>
      <c r="BT141" s="229"/>
      <c r="BU141" s="229"/>
      <c r="BV141" s="229"/>
      <c r="BW141" s="229"/>
      <c r="BX141" s="229"/>
    </row>
    <row r="146" spans="3:76" collapsed="1">
      <c r="C146" s="308" t="s">
        <v>278</v>
      </c>
      <c r="D146" s="309"/>
      <c r="E146" s="310">
        <f t="shared" ref="E146:BX146" si="58">-(E8+E77)</f>
        <v>0</v>
      </c>
      <c r="F146" s="310">
        <f t="shared" si="58"/>
        <v>0</v>
      </c>
      <c r="G146" s="310">
        <f t="shared" si="58"/>
        <v>0</v>
      </c>
      <c r="H146" s="310">
        <f t="shared" si="58"/>
        <v>0</v>
      </c>
      <c r="I146" s="310">
        <f t="shared" si="58"/>
        <v>0</v>
      </c>
      <c r="J146" s="310">
        <f t="shared" si="58"/>
        <v>0</v>
      </c>
      <c r="K146" s="310">
        <f t="shared" si="58"/>
        <v>0</v>
      </c>
      <c r="L146" s="310">
        <f t="shared" si="58"/>
        <v>0</v>
      </c>
      <c r="M146" s="310">
        <f t="shared" si="58"/>
        <v>0</v>
      </c>
      <c r="N146" s="310">
        <f t="shared" si="58"/>
        <v>0</v>
      </c>
      <c r="O146" s="310">
        <f t="shared" si="58"/>
        <v>0</v>
      </c>
      <c r="P146" s="310">
        <f t="shared" si="58"/>
        <v>0</v>
      </c>
      <c r="Q146" s="310">
        <f t="shared" si="58"/>
        <v>0</v>
      </c>
      <c r="R146" s="310">
        <f t="shared" si="58"/>
        <v>0</v>
      </c>
      <c r="S146" s="310">
        <f t="shared" si="58"/>
        <v>0</v>
      </c>
      <c r="T146" s="310">
        <f t="shared" si="58"/>
        <v>0</v>
      </c>
      <c r="U146" s="310">
        <f t="shared" si="58"/>
        <v>0</v>
      </c>
      <c r="V146" s="310">
        <f t="shared" si="58"/>
        <v>0</v>
      </c>
      <c r="W146" s="310">
        <f t="shared" si="58"/>
        <v>0</v>
      </c>
      <c r="X146" s="310">
        <f t="shared" si="58"/>
        <v>0</v>
      </c>
      <c r="Y146" s="310">
        <f t="shared" si="58"/>
        <v>0</v>
      </c>
      <c r="Z146" s="310">
        <f t="shared" si="58"/>
        <v>0</v>
      </c>
      <c r="AA146" s="310">
        <f t="shared" si="58"/>
        <v>0</v>
      </c>
      <c r="AB146" s="310">
        <f t="shared" si="58"/>
        <v>0</v>
      </c>
      <c r="AC146" s="310">
        <f t="shared" si="58"/>
        <v>0</v>
      </c>
      <c r="AD146" s="310">
        <f t="shared" si="58"/>
        <v>0</v>
      </c>
      <c r="AE146" s="310">
        <f t="shared" si="58"/>
        <v>0</v>
      </c>
      <c r="AF146" s="310">
        <f t="shared" si="58"/>
        <v>0</v>
      </c>
      <c r="AG146" s="310">
        <f t="shared" si="58"/>
        <v>0</v>
      </c>
      <c r="AH146" s="310">
        <f t="shared" si="58"/>
        <v>0</v>
      </c>
      <c r="AI146" s="310">
        <f t="shared" si="58"/>
        <v>0</v>
      </c>
      <c r="AJ146" s="310">
        <f t="shared" si="58"/>
        <v>0</v>
      </c>
      <c r="AK146" s="310">
        <f t="shared" si="58"/>
        <v>0</v>
      </c>
      <c r="AL146" s="310">
        <f t="shared" si="58"/>
        <v>0</v>
      </c>
      <c r="AM146" s="310">
        <f t="shared" si="58"/>
        <v>0</v>
      </c>
      <c r="AN146" s="310">
        <f t="shared" si="58"/>
        <v>0</v>
      </c>
      <c r="AO146" s="310">
        <f t="shared" si="58"/>
        <v>0</v>
      </c>
      <c r="AP146" s="310">
        <f t="shared" si="58"/>
        <v>0</v>
      </c>
      <c r="AQ146" s="310">
        <f t="shared" si="58"/>
        <v>0</v>
      </c>
      <c r="AR146" s="310">
        <f t="shared" si="58"/>
        <v>0</v>
      </c>
      <c r="AS146" s="310">
        <f t="shared" si="58"/>
        <v>0</v>
      </c>
      <c r="AT146" s="310">
        <f t="shared" si="58"/>
        <v>0</v>
      </c>
      <c r="AU146" s="310">
        <f t="shared" si="58"/>
        <v>0</v>
      </c>
      <c r="AV146" s="310">
        <f t="shared" si="58"/>
        <v>0</v>
      </c>
      <c r="AW146" s="310">
        <f t="shared" si="58"/>
        <v>0</v>
      </c>
      <c r="AX146" s="310">
        <f t="shared" si="58"/>
        <v>0</v>
      </c>
      <c r="AY146" s="310">
        <f t="shared" si="58"/>
        <v>0</v>
      </c>
      <c r="AZ146" s="310">
        <f t="shared" si="58"/>
        <v>0</v>
      </c>
      <c r="BA146" s="310">
        <f t="shared" si="58"/>
        <v>0</v>
      </c>
      <c r="BB146" s="310">
        <f t="shared" si="58"/>
        <v>0</v>
      </c>
      <c r="BC146" s="310">
        <f t="shared" si="58"/>
        <v>0</v>
      </c>
      <c r="BD146" s="310">
        <f t="shared" si="58"/>
        <v>0</v>
      </c>
      <c r="BE146" s="310">
        <f t="shared" si="58"/>
        <v>0</v>
      </c>
      <c r="BF146" s="310">
        <f t="shared" si="58"/>
        <v>0</v>
      </c>
      <c r="BG146" s="310">
        <f t="shared" si="58"/>
        <v>0</v>
      </c>
      <c r="BH146" s="310">
        <f t="shared" si="58"/>
        <v>0</v>
      </c>
      <c r="BI146" s="310">
        <f t="shared" si="58"/>
        <v>0</v>
      </c>
      <c r="BJ146" s="310">
        <f t="shared" si="58"/>
        <v>0</v>
      </c>
      <c r="BK146" s="310">
        <f t="shared" si="58"/>
        <v>0</v>
      </c>
      <c r="BL146" s="310">
        <f t="shared" si="58"/>
        <v>0</v>
      </c>
      <c r="BM146" s="310">
        <f t="shared" si="58"/>
        <v>0</v>
      </c>
      <c r="BN146" s="310">
        <f t="shared" si="58"/>
        <v>0</v>
      </c>
      <c r="BO146" s="310">
        <f t="shared" si="58"/>
        <v>0</v>
      </c>
      <c r="BP146" s="310">
        <f t="shared" si="58"/>
        <v>0</v>
      </c>
      <c r="BQ146" s="310">
        <f t="shared" si="58"/>
        <v>0</v>
      </c>
      <c r="BR146" s="310">
        <f t="shared" si="58"/>
        <v>0</v>
      </c>
      <c r="BS146" s="310">
        <f t="shared" si="58"/>
        <v>0</v>
      </c>
      <c r="BT146" s="310">
        <f t="shared" si="58"/>
        <v>0</v>
      </c>
      <c r="BU146" s="310">
        <f t="shared" si="58"/>
        <v>0</v>
      </c>
      <c r="BV146" s="310">
        <f t="shared" si="58"/>
        <v>0</v>
      </c>
      <c r="BW146" s="310">
        <f t="shared" si="58"/>
        <v>0</v>
      </c>
      <c r="BX146" s="310">
        <f t="shared" si="58"/>
        <v>0</v>
      </c>
    </row>
    <row r="147" spans="3:76" outlineLevel="1">
      <c r="C147" s="308" t="s">
        <v>274</v>
      </c>
      <c r="D147" s="317"/>
      <c r="E147" s="309"/>
      <c r="F147" s="309"/>
      <c r="G147" s="309"/>
      <c r="H147" s="309"/>
      <c r="I147" s="309"/>
      <c r="J147" s="309"/>
      <c r="K147" s="309"/>
      <c r="L147" s="309"/>
      <c r="M147" s="309"/>
      <c r="N147" s="309"/>
      <c r="O147" s="309"/>
      <c r="P147" s="309"/>
      <c r="Q147" s="309"/>
      <c r="R147" s="309"/>
      <c r="S147" s="309"/>
      <c r="T147" s="309"/>
      <c r="U147" s="309"/>
      <c r="V147" s="309"/>
      <c r="W147" s="309"/>
      <c r="X147" s="309"/>
      <c r="Y147" s="309"/>
      <c r="Z147" s="309"/>
      <c r="AA147" s="309"/>
      <c r="AB147" s="309"/>
      <c r="AC147" s="309"/>
      <c r="AD147" s="309"/>
      <c r="AE147" s="309"/>
      <c r="AF147" s="309"/>
      <c r="AG147" s="309"/>
      <c r="AH147" s="309"/>
      <c r="AI147" s="309"/>
      <c r="AJ147" s="309"/>
      <c r="AK147" s="309"/>
      <c r="AL147" s="309"/>
      <c r="AM147" s="309"/>
      <c r="AN147" s="309"/>
      <c r="AO147" s="309"/>
      <c r="AP147" s="309"/>
      <c r="AQ147" s="309"/>
      <c r="AR147" s="309"/>
      <c r="AS147" s="309"/>
      <c r="AT147" s="309"/>
      <c r="AU147" s="309"/>
      <c r="AV147" s="309"/>
      <c r="AW147" s="309"/>
      <c r="AX147" s="309"/>
      <c r="AY147" s="309"/>
      <c r="AZ147" s="309"/>
      <c r="BA147" s="309"/>
      <c r="BB147" s="309"/>
      <c r="BC147" s="310"/>
      <c r="BD147" s="309"/>
      <c r="BE147" s="309"/>
      <c r="BF147" s="309"/>
      <c r="BG147" s="309"/>
      <c r="BH147" s="309"/>
      <c r="BI147" s="309"/>
      <c r="BJ147" s="309"/>
      <c r="BK147" s="309"/>
      <c r="BL147" s="309"/>
      <c r="BM147" s="309"/>
      <c r="BN147" s="309"/>
      <c r="BO147" s="309"/>
      <c r="BP147" s="309"/>
      <c r="BQ147" s="309"/>
      <c r="BR147" s="309"/>
      <c r="BS147" s="309"/>
      <c r="BT147" s="309"/>
      <c r="BU147" s="309"/>
      <c r="BV147" s="309"/>
      <c r="BW147" s="309"/>
      <c r="BX147" s="309"/>
    </row>
    <row r="148" spans="3:76" outlineLevel="1">
      <c r="C148" s="308" t="s">
        <v>265</v>
      </c>
      <c r="D148" s="317"/>
      <c r="E148" s="309">
        <f t="shared" ref="E148:BX148" si="59">-E58</f>
        <v>0</v>
      </c>
      <c r="F148" s="309">
        <f t="shared" si="59"/>
        <v>0</v>
      </c>
      <c r="G148" s="309">
        <f t="shared" si="59"/>
        <v>0</v>
      </c>
      <c r="H148" s="309">
        <f t="shared" si="59"/>
        <v>0</v>
      </c>
      <c r="I148" s="309">
        <f t="shared" si="59"/>
        <v>0</v>
      </c>
      <c r="J148" s="309">
        <f t="shared" si="59"/>
        <v>0</v>
      </c>
      <c r="K148" s="309">
        <f t="shared" si="59"/>
        <v>0</v>
      </c>
      <c r="L148" s="309">
        <f t="shared" si="59"/>
        <v>0</v>
      </c>
      <c r="M148" s="309">
        <f t="shared" si="59"/>
        <v>0</v>
      </c>
      <c r="N148" s="309">
        <f t="shared" si="59"/>
        <v>0</v>
      </c>
      <c r="O148" s="309">
        <f t="shared" si="59"/>
        <v>0</v>
      </c>
      <c r="P148" s="309">
        <f t="shared" si="59"/>
        <v>0</v>
      </c>
      <c r="Q148" s="309">
        <f t="shared" si="59"/>
        <v>0</v>
      </c>
      <c r="R148" s="309">
        <f t="shared" si="59"/>
        <v>0</v>
      </c>
      <c r="S148" s="309">
        <f t="shared" si="59"/>
        <v>0</v>
      </c>
      <c r="T148" s="309">
        <f t="shared" si="59"/>
        <v>0</v>
      </c>
      <c r="U148" s="309">
        <f t="shared" si="59"/>
        <v>0</v>
      </c>
      <c r="V148" s="309">
        <f t="shared" si="59"/>
        <v>0</v>
      </c>
      <c r="W148" s="309">
        <f t="shared" si="59"/>
        <v>0</v>
      </c>
      <c r="X148" s="309">
        <f t="shared" si="59"/>
        <v>0</v>
      </c>
      <c r="Y148" s="309">
        <f t="shared" si="59"/>
        <v>0</v>
      </c>
      <c r="Z148" s="309">
        <f t="shared" si="59"/>
        <v>0</v>
      </c>
      <c r="AA148" s="309">
        <f t="shared" si="59"/>
        <v>0</v>
      </c>
      <c r="AB148" s="309">
        <f t="shared" si="59"/>
        <v>0</v>
      </c>
      <c r="AC148" s="309">
        <f t="shared" si="59"/>
        <v>0</v>
      </c>
      <c r="AD148" s="309">
        <f t="shared" si="59"/>
        <v>0</v>
      </c>
      <c r="AE148" s="309">
        <f t="shared" si="59"/>
        <v>0</v>
      </c>
      <c r="AF148" s="309">
        <f t="shared" si="59"/>
        <v>0</v>
      </c>
      <c r="AG148" s="309">
        <f t="shared" si="59"/>
        <v>0</v>
      </c>
      <c r="AH148" s="309">
        <f t="shared" si="59"/>
        <v>0</v>
      </c>
      <c r="AI148" s="309">
        <f t="shared" si="59"/>
        <v>0</v>
      </c>
      <c r="AJ148" s="309">
        <f t="shared" si="59"/>
        <v>0</v>
      </c>
      <c r="AK148" s="309">
        <f t="shared" si="59"/>
        <v>0</v>
      </c>
      <c r="AL148" s="309">
        <f t="shared" si="59"/>
        <v>0</v>
      </c>
      <c r="AM148" s="309">
        <f t="shared" si="59"/>
        <v>0</v>
      </c>
      <c r="AN148" s="309">
        <f t="shared" si="59"/>
        <v>0</v>
      </c>
      <c r="AO148" s="309">
        <f t="shared" si="59"/>
        <v>0</v>
      </c>
      <c r="AP148" s="309">
        <f t="shared" si="59"/>
        <v>0</v>
      </c>
      <c r="AQ148" s="309">
        <f t="shared" si="59"/>
        <v>0</v>
      </c>
      <c r="AR148" s="309">
        <f t="shared" si="59"/>
        <v>0</v>
      </c>
      <c r="AS148" s="309">
        <f t="shared" si="59"/>
        <v>0</v>
      </c>
      <c r="AT148" s="309">
        <f t="shared" si="59"/>
        <v>0</v>
      </c>
      <c r="AU148" s="309">
        <f t="shared" si="59"/>
        <v>0</v>
      </c>
      <c r="AV148" s="309">
        <f t="shared" si="59"/>
        <v>0</v>
      </c>
      <c r="AW148" s="309">
        <f t="shared" si="59"/>
        <v>0</v>
      </c>
      <c r="AX148" s="309">
        <f t="shared" si="59"/>
        <v>0</v>
      </c>
      <c r="AY148" s="309">
        <f t="shared" si="59"/>
        <v>0</v>
      </c>
      <c r="AZ148" s="309">
        <f t="shared" si="59"/>
        <v>0</v>
      </c>
      <c r="BA148" s="309">
        <f t="shared" si="59"/>
        <v>0</v>
      </c>
      <c r="BB148" s="309">
        <f t="shared" si="59"/>
        <v>0</v>
      </c>
      <c r="BC148" s="309">
        <f t="shared" si="59"/>
        <v>0</v>
      </c>
      <c r="BD148" s="309">
        <f t="shared" si="59"/>
        <v>0</v>
      </c>
      <c r="BE148" s="309">
        <f t="shared" si="59"/>
        <v>0</v>
      </c>
      <c r="BF148" s="309">
        <f t="shared" si="59"/>
        <v>0</v>
      </c>
      <c r="BG148" s="309">
        <f t="shared" si="59"/>
        <v>0</v>
      </c>
      <c r="BH148" s="309">
        <f t="shared" si="59"/>
        <v>0</v>
      </c>
      <c r="BI148" s="309">
        <f t="shared" si="59"/>
        <v>0</v>
      </c>
      <c r="BJ148" s="309">
        <f t="shared" si="59"/>
        <v>0</v>
      </c>
      <c r="BK148" s="309">
        <f t="shared" si="59"/>
        <v>0</v>
      </c>
      <c r="BL148" s="309">
        <f t="shared" si="59"/>
        <v>0</v>
      </c>
      <c r="BM148" s="309">
        <f t="shared" si="59"/>
        <v>0</v>
      </c>
      <c r="BN148" s="309">
        <f t="shared" si="59"/>
        <v>0</v>
      </c>
      <c r="BO148" s="309">
        <f t="shared" si="59"/>
        <v>0</v>
      </c>
      <c r="BP148" s="309">
        <f t="shared" si="59"/>
        <v>0</v>
      </c>
      <c r="BQ148" s="309">
        <f t="shared" si="59"/>
        <v>0</v>
      </c>
      <c r="BR148" s="309">
        <f t="shared" si="59"/>
        <v>0</v>
      </c>
      <c r="BS148" s="309">
        <f t="shared" si="59"/>
        <v>0</v>
      </c>
      <c r="BT148" s="309">
        <f t="shared" si="59"/>
        <v>0</v>
      </c>
      <c r="BU148" s="309">
        <f t="shared" si="59"/>
        <v>0</v>
      </c>
      <c r="BV148" s="309">
        <f t="shared" si="59"/>
        <v>0</v>
      </c>
      <c r="BW148" s="309">
        <f t="shared" si="59"/>
        <v>0</v>
      </c>
      <c r="BX148" s="309">
        <f t="shared" si="59"/>
        <v>0</v>
      </c>
    </row>
    <row r="149" spans="3:76" outlineLevel="1">
      <c r="C149" s="308" t="s">
        <v>266</v>
      </c>
      <c r="D149" s="317"/>
      <c r="E149" s="309"/>
      <c r="F149" s="309"/>
      <c r="G149" s="309"/>
      <c r="H149" s="309"/>
      <c r="I149" s="309"/>
      <c r="J149" s="309"/>
      <c r="K149" s="309"/>
      <c r="L149" s="309"/>
      <c r="M149" s="309"/>
      <c r="N149" s="309"/>
      <c r="O149" s="309"/>
      <c r="P149" s="309"/>
      <c r="Q149" s="309"/>
      <c r="R149" s="309"/>
      <c r="S149" s="309"/>
      <c r="T149" s="309"/>
      <c r="U149" s="309"/>
      <c r="V149" s="309"/>
      <c r="W149" s="309"/>
      <c r="X149" s="309"/>
      <c r="Y149" s="309"/>
      <c r="Z149" s="309"/>
      <c r="AA149" s="309"/>
      <c r="AB149" s="309"/>
      <c r="AC149" s="309"/>
      <c r="AD149" s="309"/>
      <c r="AE149" s="309"/>
      <c r="AF149" s="309"/>
      <c r="AG149" s="309"/>
      <c r="AH149" s="309"/>
      <c r="AI149" s="309"/>
      <c r="AJ149" s="309"/>
      <c r="AK149" s="309"/>
      <c r="AL149" s="309"/>
      <c r="AM149" s="309"/>
      <c r="AN149" s="309"/>
      <c r="AO149" s="309"/>
      <c r="AP149" s="309"/>
      <c r="AQ149" s="309"/>
      <c r="AR149" s="309"/>
      <c r="AS149" s="309"/>
      <c r="AT149" s="309"/>
      <c r="AU149" s="309"/>
      <c r="AV149" s="309"/>
      <c r="AW149" s="309"/>
      <c r="AX149" s="309"/>
      <c r="AY149" s="309"/>
      <c r="AZ149" s="309"/>
      <c r="BA149" s="309"/>
      <c r="BB149" s="309"/>
      <c r="BC149" s="310"/>
      <c r="BD149" s="309"/>
      <c r="BE149" s="309"/>
      <c r="BF149" s="309"/>
      <c r="BG149" s="309"/>
      <c r="BH149" s="309"/>
      <c r="BI149" s="309"/>
      <c r="BJ149" s="309"/>
      <c r="BK149" s="309"/>
      <c r="BL149" s="309"/>
      <c r="BM149" s="309"/>
      <c r="BN149" s="309"/>
      <c r="BO149" s="309"/>
      <c r="BP149" s="309"/>
      <c r="BQ149" s="309"/>
      <c r="BR149" s="309"/>
      <c r="BS149" s="309"/>
      <c r="BT149" s="309"/>
      <c r="BU149" s="309"/>
      <c r="BV149" s="309"/>
      <c r="BW149" s="309"/>
      <c r="BX149" s="309">
        <f>IF(D90&gt;0.25,(BX84-BX93)*D150,BX84*D150)</f>
        <v>0</v>
      </c>
    </row>
    <row r="150" spans="3:76" outlineLevel="1">
      <c r="C150" s="311" t="s">
        <v>267</v>
      </c>
      <c r="D150" s="317">
        <v>0</v>
      </c>
      <c r="E150" s="309"/>
      <c r="F150" s="309"/>
      <c r="G150" s="309"/>
      <c r="H150" s="309"/>
      <c r="I150" s="309"/>
      <c r="J150" s="309"/>
      <c r="K150" s="309"/>
      <c r="L150" s="309"/>
      <c r="M150" s="309"/>
      <c r="N150" s="309"/>
      <c r="O150" s="309"/>
      <c r="P150" s="309"/>
      <c r="Q150" s="309"/>
      <c r="R150" s="309"/>
      <c r="S150" s="309"/>
      <c r="T150" s="309"/>
      <c r="U150" s="309"/>
      <c r="V150" s="309"/>
      <c r="W150" s="309"/>
      <c r="X150" s="309"/>
      <c r="Y150" s="309"/>
      <c r="Z150" s="309"/>
      <c r="AA150" s="309"/>
      <c r="AB150" s="309"/>
      <c r="AC150" s="309"/>
      <c r="AD150" s="309"/>
      <c r="AE150" s="309"/>
      <c r="AF150" s="309"/>
      <c r="AG150" s="309"/>
      <c r="AH150" s="309"/>
      <c r="AI150" s="309"/>
      <c r="AJ150" s="309"/>
      <c r="AK150" s="309"/>
      <c r="AL150" s="309"/>
      <c r="AM150" s="309"/>
      <c r="AN150" s="309"/>
      <c r="AO150" s="309"/>
      <c r="AP150" s="309"/>
      <c r="AQ150" s="309"/>
      <c r="AR150" s="309"/>
      <c r="AS150" s="309"/>
      <c r="AT150" s="309"/>
      <c r="AU150" s="309"/>
      <c r="AV150" s="309"/>
      <c r="AW150" s="309"/>
      <c r="AX150" s="309"/>
      <c r="AY150" s="309"/>
      <c r="AZ150" s="309"/>
      <c r="BA150" s="309"/>
      <c r="BB150" s="309"/>
      <c r="BC150" s="310"/>
      <c r="BD150" s="309"/>
      <c r="BE150" s="309"/>
      <c r="BF150" s="309"/>
      <c r="BG150" s="309"/>
      <c r="BH150" s="309"/>
      <c r="BI150" s="309"/>
      <c r="BJ150" s="309"/>
      <c r="BK150" s="309"/>
      <c r="BL150" s="309"/>
      <c r="BM150" s="309"/>
      <c r="BN150" s="309"/>
      <c r="BO150" s="309"/>
      <c r="BP150" s="309"/>
      <c r="BQ150" s="309"/>
      <c r="BR150" s="309"/>
      <c r="BS150" s="309"/>
      <c r="BT150" s="309"/>
      <c r="BU150" s="309"/>
      <c r="BV150" s="309"/>
      <c r="BW150" s="309"/>
      <c r="BX150" s="309"/>
    </row>
    <row r="151" spans="3:76" outlineLevel="1">
      <c r="C151" s="308" t="s">
        <v>268</v>
      </c>
      <c r="D151" s="309"/>
      <c r="E151" s="319">
        <f t="shared" ref="E151:BX151" si="60">E146+E147+E148+E149+E150</f>
        <v>0</v>
      </c>
      <c r="F151" s="319">
        <f t="shared" si="60"/>
        <v>0</v>
      </c>
      <c r="G151" s="319">
        <f t="shared" si="60"/>
        <v>0</v>
      </c>
      <c r="H151" s="319">
        <f t="shared" si="60"/>
        <v>0</v>
      </c>
      <c r="I151" s="319">
        <f t="shared" si="60"/>
        <v>0</v>
      </c>
      <c r="J151" s="319">
        <f t="shared" si="60"/>
        <v>0</v>
      </c>
      <c r="K151" s="319">
        <f t="shared" si="60"/>
        <v>0</v>
      </c>
      <c r="L151" s="319">
        <f t="shared" si="60"/>
        <v>0</v>
      </c>
      <c r="M151" s="319">
        <f t="shared" si="60"/>
        <v>0</v>
      </c>
      <c r="N151" s="319">
        <f t="shared" si="60"/>
        <v>0</v>
      </c>
      <c r="O151" s="319">
        <f t="shared" si="60"/>
        <v>0</v>
      </c>
      <c r="P151" s="319">
        <f t="shared" si="60"/>
        <v>0</v>
      </c>
      <c r="Q151" s="319">
        <f t="shared" si="60"/>
        <v>0</v>
      </c>
      <c r="R151" s="319">
        <f t="shared" si="60"/>
        <v>0</v>
      </c>
      <c r="S151" s="319">
        <f t="shared" si="60"/>
        <v>0</v>
      </c>
      <c r="T151" s="319">
        <f t="shared" si="60"/>
        <v>0</v>
      </c>
      <c r="U151" s="319">
        <f t="shared" si="60"/>
        <v>0</v>
      </c>
      <c r="V151" s="319">
        <f t="shared" si="60"/>
        <v>0</v>
      </c>
      <c r="W151" s="319">
        <f t="shared" si="60"/>
        <v>0</v>
      </c>
      <c r="X151" s="319">
        <f t="shared" si="60"/>
        <v>0</v>
      </c>
      <c r="Y151" s="319">
        <f t="shared" si="60"/>
        <v>0</v>
      </c>
      <c r="Z151" s="319">
        <f t="shared" si="60"/>
        <v>0</v>
      </c>
      <c r="AA151" s="319">
        <f t="shared" si="60"/>
        <v>0</v>
      </c>
      <c r="AB151" s="319">
        <f t="shared" si="60"/>
        <v>0</v>
      </c>
      <c r="AC151" s="319">
        <f t="shared" si="60"/>
        <v>0</v>
      </c>
      <c r="AD151" s="319">
        <f t="shared" si="60"/>
        <v>0</v>
      </c>
      <c r="AE151" s="319">
        <f t="shared" si="60"/>
        <v>0</v>
      </c>
      <c r="AF151" s="319">
        <f t="shared" si="60"/>
        <v>0</v>
      </c>
      <c r="AG151" s="319">
        <f t="shared" si="60"/>
        <v>0</v>
      </c>
      <c r="AH151" s="319">
        <f t="shared" si="60"/>
        <v>0</v>
      </c>
      <c r="AI151" s="319">
        <f t="shared" si="60"/>
        <v>0</v>
      </c>
      <c r="AJ151" s="319">
        <f t="shared" si="60"/>
        <v>0</v>
      </c>
      <c r="AK151" s="319">
        <f t="shared" si="60"/>
        <v>0</v>
      </c>
      <c r="AL151" s="319">
        <f t="shared" si="60"/>
        <v>0</v>
      </c>
      <c r="AM151" s="319">
        <f t="shared" si="60"/>
        <v>0</v>
      </c>
      <c r="AN151" s="319">
        <f t="shared" si="60"/>
        <v>0</v>
      </c>
      <c r="AO151" s="319">
        <f t="shared" si="60"/>
        <v>0</v>
      </c>
      <c r="AP151" s="319">
        <f t="shared" si="60"/>
        <v>0</v>
      </c>
      <c r="AQ151" s="319">
        <f t="shared" si="60"/>
        <v>0</v>
      </c>
      <c r="AR151" s="319">
        <f t="shared" si="60"/>
        <v>0</v>
      </c>
      <c r="AS151" s="319">
        <f t="shared" si="60"/>
        <v>0</v>
      </c>
      <c r="AT151" s="319">
        <f t="shared" si="60"/>
        <v>0</v>
      </c>
      <c r="AU151" s="319">
        <f t="shared" si="60"/>
        <v>0</v>
      </c>
      <c r="AV151" s="319">
        <f t="shared" si="60"/>
        <v>0</v>
      </c>
      <c r="AW151" s="319">
        <f t="shared" si="60"/>
        <v>0</v>
      </c>
      <c r="AX151" s="319">
        <f t="shared" si="60"/>
        <v>0</v>
      </c>
      <c r="AY151" s="319">
        <f t="shared" si="60"/>
        <v>0</v>
      </c>
      <c r="AZ151" s="319">
        <f t="shared" si="60"/>
        <v>0</v>
      </c>
      <c r="BA151" s="319">
        <f t="shared" si="60"/>
        <v>0</v>
      </c>
      <c r="BB151" s="319">
        <f t="shared" si="60"/>
        <v>0</v>
      </c>
      <c r="BC151" s="319">
        <f t="shared" si="60"/>
        <v>0</v>
      </c>
      <c r="BD151" s="319">
        <f t="shared" si="60"/>
        <v>0</v>
      </c>
      <c r="BE151" s="319">
        <f t="shared" si="60"/>
        <v>0</v>
      </c>
      <c r="BF151" s="319">
        <f t="shared" si="60"/>
        <v>0</v>
      </c>
      <c r="BG151" s="319">
        <f t="shared" si="60"/>
        <v>0</v>
      </c>
      <c r="BH151" s="319">
        <f t="shared" si="60"/>
        <v>0</v>
      </c>
      <c r="BI151" s="319">
        <f t="shared" si="60"/>
        <v>0</v>
      </c>
      <c r="BJ151" s="319">
        <f t="shared" si="60"/>
        <v>0</v>
      </c>
      <c r="BK151" s="319">
        <f t="shared" si="60"/>
        <v>0</v>
      </c>
      <c r="BL151" s="319">
        <f t="shared" si="60"/>
        <v>0</v>
      </c>
      <c r="BM151" s="319">
        <f t="shared" si="60"/>
        <v>0</v>
      </c>
      <c r="BN151" s="319">
        <f t="shared" si="60"/>
        <v>0</v>
      </c>
      <c r="BO151" s="319">
        <f t="shared" si="60"/>
        <v>0</v>
      </c>
      <c r="BP151" s="319">
        <f t="shared" si="60"/>
        <v>0</v>
      </c>
      <c r="BQ151" s="319">
        <f t="shared" si="60"/>
        <v>0</v>
      </c>
      <c r="BR151" s="319">
        <f t="shared" si="60"/>
        <v>0</v>
      </c>
      <c r="BS151" s="319">
        <f t="shared" si="60"/>
        <v>0</v>
      </c>
      <c r="BT151" s="319">
        <f t="shared" si="60"/>
        <v>0</v>
      </c>
      <c r="BU151" s="319">
        <f t="shared" si="60"/>
        <v>0</v>
      </c>
      <c r="BV151" s="319">
        <f t="shared" si="60"/>
        <v>0</v>
      </c>
      <c r="BW151" s="319">
        <f t="shared" si="60"/>
        <v>0</v>
      </c>
      <c r="BX151" s="319">
        <f t="shared" si="60"/>
        <v>0</v>
      </c>
    </row>
    <row r="152" spans="3:76" outlineLevel="1">
      <c r="C152" s="312"/>
      <c r="D152" s="322" t="s">
        <v>275</v>
      </c>
      <c r="E152" s="321">
        <f>E151</f>
        <v>0</v>
      </c>
      <c r="F152" s="321">
        <f t="shared" ref="F152:BX152" si="61">E152+F151</f>
        <v>0</v>
      </c>
      <c r="G152" s="321">
        <f t="shared" si="61"/>
        <v>0</v>
      </c>
      <c r="H152" s="321">
        <f t="shared" si="61"/>
        <v>0</v>
      </c>
      <c r="I152" s="321">
        <f t="shared" si="61"/>
        <v>0</v>
      </c>
      <c r="J152" s="321">
        <f t="shared" si="61"/>
        <v>0</v>
      </c>
      <c r="K152" s="321">
        <f t="shared" si="61"/>
        <v>0</v>
      </c>
      <c r="L152" s="321">
        <f t="shared" si="61"/>
        <v>0</v>
      </c>
      <c r="M152" s="321">
        <f t="shared" si="61"/>
        <v>0</v>
      </c>
      <c r="N152" s="321">
        <f t="shared" si="61"/>
        <v>0</v>
      </c>
      <c r="O152" s="321">
        <f t="shared" si="61"/>
        <v>0</v>
      </c>
      <c r="P152" s="321">
        <f t="shared" si="61"/>
        <v>0</v>
      </c>
      <c r="Q152" s="321">
        <f t="shared" si="61"/>
        <v>0</v>
      </c>
      <c r="R152" s="321">
        <f t="shared" si="61"/>
        <v>0</v>
      </c>
      <c r="S152" s="321">
        <f t="shared" si="61"/>
        <v>0</v>
      </c>
      <c r="T152" s="321">
        <f t="shared" si="61"/>
        <v>0</v>
      </c>
      <c r="U152" s="321">
        <f t="shared" si="61"/>
        <v>0</v>
      </c>
      <c r="V152" s="327">
        <f t="shared" si="61"/>
        <v>0</v>
      </c>
      <c r="W152" s="327">
        <f t="shared" si="61"/>
        <v>0</v>
      </c>
      <c r="X152" s="327">
        <f t="shared" si="61"/>
        <v>0</v>
      </c>
      <c r="Y152" s="327">
        <f t="shared" si="61"/>
        <v>0</v>
      </c>
      <c r="Z152" s="327">
        <f t="shared" si="61"/>
        <v>0</v>
      </c>
      <c r="AA152" s="327">
        <f t="shared" si="61"/>
        <v>0</v>
      </c>
      <c r="AB152" s="327">
        <f t="shared" si="61"/>
        <v>0</v>
      </c>
      <c r="AC152" s="327">
        <f t="shared" si="61"/>
        <v>0</v>
      </c>
      <c r="AD152" s="327">
        <f t="shared" si="61"/>
        <v>0</v>
      </c>
      <c r="AE152" s="327">
        <f t="shared" si="61"/>
        <v>0</v>
      </c>
      <c r="AF152" s="327">
        <f t="shared" si="61"/>
        <v>0</v>
      </c>
      <c r="AG152" s="327">
        <f t="shared" si="61"/>
        <v>0</v>
      </c>
      <c r="AH152" s="327">
        <f t="shared" si="61"/>
        <v>0</v>
      </c>
      <c r="AI152" s="327">
        <f t="shared" si="61"/>
        <v>0</v>
      </c>
      <c r="AJ152" s="327">
        <f t="shared" si="61"/>
        <v>0</v>
      </c>
      <c r="AK152" s="327">
        <f t="shared" si="61"/>
        <v>0</v>
      </c>
      <c r="AL152" s="327">
        <f t="shared" si="61"/>
        <v>0</v>
      </c>
      <c r="AM152" s="327">
        <f t="shared" si="61"/>
        <v>0</v>
      </c>
      <c r="AN152" s="327">
        <f t="shared" si="61"/>
        <v>0</v>
      </c>
      <c r="AO152" s="327">
        <f t="shared" si="61"/>
        <v>0</v>
      </c>
      <c r="AP152" s="327">
        <f t="shared" si="61"/>
        <v>0</v>
      </c>
      <c r="AQ152" s="327">
        <f t="shared" si="61"/>
        <v>0</v>
      </c>
      <c r="AR152" s="327">
        <f t="shared" si="61"/>
        <v>0</v>
      </c>
      <c r="AS152" s="327">
        <f t="shared" si="61"/>
        <v>0</v>
      </c>
      <c r="AT152" s="327">
        <f t="shared" si="61"/>
        <v>0</v>
      </c>
      <c r="AU152" s="327">
        <f t="shared" si="61"/>
        <v>0</v>
      </c>
      <c r="AV152" s="327">
        <f t="shared" si="61"/>
        <v>0</v>
      </c>
      <c r="AW152" s="327">
        <f t="shared" si="61"/>
        <v>0</v>
      </c>
      <c r="AX152" s="327">
        <f t="shared" si="61"/>
        <v>0</v>
      </c>
      <c r="AY152" s="327">
        <f t="shared" si="61"/>
        <v>0</v>
      </c>
      <c r="AZ152" s="327">
        <f t="shared" si="61"/>
        <v>0</v>
      </c>
      <c r="BA152" s="327">
        <f t="shared" si="61"/>
        <v>0</v>
      </c>
      <c r="BB152" s="327">
        <f t="shared" si="61"/>
        <v>0</v>
      </c>
      <c r="BC152" s="321">
        <f t="shared" si="61"/>
        <v>0</v>
      </c>
      <c r="BD152" s="321">
        <f t="shared" si="61"/>
        <v>0</v>
      </c>
      <c r="BE152" s="321">
        <f t="shared" si="61"/>
        <v>0</v>
      </c>
      <c r="BF152" s="321">
        <f t="shared" si="61"/>
        <v>0</v>
      </c>
      <c r="BG152" s="321">
        <f t="shared" si="61"/>
        <v>0</v>
      </c>
      <c r="BH152" s="321">
        <f t="shared" si="61"/>
        <v>0</v>
      </c>
      <c r="BI152" s="321">
        <f t="shared" si="61"/>
        <v>0</v>
      </c>
      <c r="BJ152" s="321">
        <f t="shared" si="61"/>
        <v>0</v>
      </c>
      <c r="BK152" s="321">
        <f t="shared" si="61"/>
        <v>0</v>
      </c>
      <c r="BL152" s="321">
        <f t="shared" si="61"/>
        <v>0</v>
      </c>
      <c r="BM152" s="321">
        <f t="shared" si="61"/>
        <v>0</v>
      </c>
      <c r="BN152" s="321">
        <f t="shared" si="61"/>
        <v>0</v>
      </c>
      <c r="BO152" s="321">
        <f t="shared" si="61"/>
        <v>0</v>
      </c>
      <c r="BP152" s="321">
        <f t="shared" si="61"/>
        <v>0</v>
      </c>
      <c r="BQ152" s="321">
        <f t="shared" si="61"/>
        <v>0</v>
      </c>
      <c r="BR152" s="321">
        <f t="shared" si="61"/>
        <v>0</v>
      </c>
      <c r="BS152" s="321">
        <f t="shared" si="61"/>
        <v>0</v>
      </c>
      <c r="BT152" s="321">
        <f t="shared" si="61"/>
        <v>0</v>
      </c>
      <c r="BU152" s="321">
        <f t="shared" si="61"/>
        <v>0</v>
      </c>
      <c r="BV152" s="321">
        <f t="shared" si="61"/>
        <v>0</v>
      </c>
      <c r="BW152" s="321">
        <f t="shared" si="61"/>
        <v>0</v>
      </c>
      <c r="BX152" s="321">
        <f t="shared" si="61"/>
        <v>0</v>
      </c>
    </row>
    <row r="153" spans="3:76" outlineLevel="1">
      <c r="C153" s="311" t="s">
        <v>261</v>
      </c>
      <c r="D153" s="322" t="e">
        <f>IRR(E151:BX151)*12</f>
        <v>#NUM!</v>
      </c>
      <c r="E153" s="229"/>
      <c r="F153" s="229"/>
      <c r="G153" s="229"/>
      <c r="H153" s="229"/>
      <c r="I153" s="229"/>
      <c r="J153" s="229"/>
      <c r="K153" s="229"/>
      <c r="L153" s="229"/>
      <c r="M153" s="229"/>
      <c r="N153" s="229"/>
      <c r="O153" s="229"/>
      <c r="P153" s="229"/>
      <c r="Q153" s="229"/>
      <c r="R153" s="229"/>
      <c r="S153" s="229"/>
      <c r="T153" s="229"/>
      <c r="U153" s="229"/>
      <c r="V153" s="229"/>
      <c r="W153" s="229"/>
      <c r="X153" s="229"/>
      <c r="Y153" s="229"/>
      <c r="Z153" s="229"/>
      <c r="AA153" s="229"/>
      <c r="AB153" s="229"/>
      <c r="AC153" s="229"/>
      <c r="AD153" s="229"/>
      <c r="AE153" s="229"/>
      <c r="AF153" s="229"/>
      <c r="AG153" s="229"/>
      <c r="AH153" s="229"/>
      <c r="AI153" s="229"/>
      <c r="AJ153" s="229"/>
      <c r="AK153" s="229"/>
      <c r="AL153" s="229"/>
      <c r="AM153" s="229"/>
      <c r="AN153" s="229"/>
      <c r="AO153" s="229"/>
      <c r="AP153" s="229"/>
      <c r="AQ153" s="229"/>
      <c r="AR153" s="229"/>
      <c r="AS153" s="229"/>
      <c r="AT153" s="229"/>
      <c r="AU153" s="229"/>
      <c r="AV153" s="229"/>
      <c r="AW153" s="229"/>
      <c r="AX153" s="229"/>
      <c r="AY153" s="229"/>
      <c r="AZ153" s="229"/>
      <c r="BA153" s="229"/>
      <c r="BB153" s="229"/>
      <c r="BC153" s="229"/>
      <c r="BD153" s="229"/>
      <c r="BE153" s="229"/>
      <c r="BF153" s="229"/>
      <c r="BG153" s="229"/>
      <c r="BH153" s="229"/>
      <c r="BI153" s="229"/>
      <c r="BJ153" s="229"/>
      <c r="BK153" s="229"/>
      <c r="BL153" s="229"/>
      <c r="BM153" s="229"/>
      <c r="BN153" s="229"/>
      <c r="BO153" s="229"/>
      <c r="BP153" s="229"/>
      <c r="BQ153" s="229"/>
      <c r="BR153" s="229"/>
      <c r="BS153" s="229"/>
      <c r="BT153" s="229"/>
      <c r="BU153" s="229"/>
      <c r="BV153" s="229"/>
      <c r="BW153" s="229"/>
      <c r="BX153" s="229"/>
    </row>
    <row r="154" spans="3:76" outlineLevel="1">
      <c r="C154" s="323" t="s">
        <v>269</v>
      </c>
      <c r="D154" s="324">
        <f>-MIN(M152:BL152)-D155</f>
        <v>0</v>
      </c>
      <c r="E154" s="229"/>
      <c r="F154" s="229"/>
      <c r="G154" s="229"/>
      <c r="H154" s="229"/>
      <c r="I154" s="229"/>
      <c r="J154" s="229"/>
      <c r="K154" s="229"/>
      <c r="L154" s="229"/>
      <c r="M154" s="229"/>
      <c r="N154" s="229"/>
      <c r="O154" s="229"/>
      <c r="P154" s="229"/>
      <c r="Q154" s="229"/>
      <c r="R154" s="229"/>
      <c r="S154" s="229"/>
      <c r="T154" s="229"/>
      <c r="U154" s="229"/>
      <c r="V154" s="229"/>
      <c r="W154" s="229"/>
      <c r="X154" s="229"/>
      <c r="Y154" s="229"/>
      <c r="Z154" s="229"/>
      <c r="AA154" s="229"/>
      <c r="AB154" s="229"/>
      <c r="AC154" s="229"/>
      <c r="AD154" s="229"/>
      <c r="AE154" s="229"/>
      <c r="AF154" s="229"/>
      <c r="AG154" s="229"/>
      <c r="AH154" s="229"/>
      <c r="AI154" s="229"/>
      <c r="AJ154" s="229"/>
      <c r="AK154" s="229"/>
      <c r="AL154" s="229"/>
      <c r="AM154" s="229"/>
      <c r="AN154" s="229"/>
      <c r="AO154" s="229"/>
      <c r="AP154" s="229"/>
      <c r="AQ154" s="229"/>
      <c r="AR154" s="229"/>
      <c r="AS154" s="229"/>
      <c r="AT154" s="229"/>
      <c r="AU154" s="229"/>
      <c r="AV154" s="229"/>
      <c r="AW154" s="229"/>
      <c r="AX154" s="229"/>
      <c r="AY154" s="229"/>
      <c r="AZ154" s="229"/>
      <c r="BA154" s="229"/>
      <c r="BB154" s="229"/>
      <c r="BC154" s="229"/>
      <c r="BD154" s="229"/>
      <c r="BE154" s="229"/>
      <c r="BF154" s="229"/>
      <c r="BG154" s="229"/>
      <c r="BH154" s="229"/>
      <c r="BI154" s="229"/>
      <c r="BJ154" s="229"/>
      <c r="BK154" s="229"/>
      <c r="BL154" s="229"/>
      <c r="BM154" s="229"/>
      <c r="BN154" s="229"/>
      <c r="BO154" s="229"/>
      <c r="BP154" s="229"/>
      <c r="BQ154" s="229"/>
      <c r="BR154" s="229"/>
      <c r="BS154" s="229"/>
      <c r="BT154" s="229"/>
      <c r="BU154" s="229"/>
      <c r="BV154" s="229"/>
      <c r="BW154" s="229"/>
      <c r="BX154" s="229"/>
    </row>
    <row r="155" spans="3:76" outlineLevel="1">
      <c r="C155" s="323" t="s">
        <v>276</v>
      </c>
      <c r="D155" s="324">
        <f>-SUM(M150:BB150)</f>
        <v>0</v>
      </c>
      <c r="E155" s="229"/>
      <c r="F155" s="229"/>
      <c r="G155" s="229"/>
      <c r="H155" s="229"/>
      <c r="I155" s="229"/>
      <c r="J155" s="229"/>
      <c r="K155" s="229"/>
      <c r="L155" s="229"/>
      <c r="M155" s="229"/>
      <c r="N155" s="229"/>
      <c r="O155" s="229"/>
      <c r="P155" s="229"/>
      <c r="Q155" s="229"/>
      <c r="R155" s="229"/>
      <c r="S155" s="229"/>
      <c r="T155" s="229"/>
      <c r="U155" s="229"/>
      <c r="V155" s="229"/>
      <c r="W155" s="229"/>
      <c r="X155" s="229"/>
      <c r="Y155" s="229"/>
      <c r="Z155" s="229"/>
      <c r="AA155" s="229"/>
      <c r="AB155" s="229"/>
      <c r="AC155" s="229"/>
      <c r="AD155" s="229"/>
      <c r="AE155" s="229"/>
      <c r="AF155" s="229"/>
      <c r="AG155" s="229"/>
      <c r="AH155" s="229"/>
      <c r="AI155" s="229"/>
      <c r="AJ155" s="229"/>
      <c r="AK155" s="229"/>
      <c r="AL155" s="229"/>
      <c r="AM155" s="229"/>
      <c r="AN155" s="229"/>
      <c r="AO155" s="229"/>
      <c r="AP155" s="229"/>
      <c r="AQ155" s="229"/>
      <c r="AR155" s="229"/>
      <c r="AS155" s="229"/>
      <c r="AT155" s="229"/>
      <c r="AU155" s="229"/>
      <c r="AV155" s="229"/>
      <c r="AW155" s="229"/>
      <c r="AX155" s="229"/>
      <c r="AY155" s="229"/>
      <c r="AZ155" s="229"/>
      <c r="BA155" s="229"/>
      <c r="BB155" s="229"/>
      <c r="BC155" s="229"/>
      <c r="BD155" s="229"/>
      <c r="BE155" s="229"/>
      <c r="BF155" s="229"/>
      <c r="BG155" s="229"/>
      <c r="BH155" s="229"/>
      <c r="BI155" s="229"/>
      <c r="BJ155" s="229"/>
      <c r="BK155" s="229"/>
      <c r="BL155" s="229"/>
      <c r="BM155" s="229"/>
      <c r="BN155" s="229"/>
      <c r="BO155" s="229"/>
      <c r="BP155" s="229"/>
      <c r="BQ155" s="229"/>
      <c r="BR155" s="229"/>
      <c r="BS155" s="229"/>
      <c r="BT155" s="229"/>
      <c r="BU155" s="229"/>
      <c r="BV155" s="229"/>
      <c r="BW155" s="229"/>
      <c r="BX155" s="229"/>
    </row>
    <row r="156" spans="3:76" outlineLevel="1">
      <c r="C156" s="311" t="s">
        <v>270</v>
      </c>
      <c r="D156" s="325">
        <f>D155+D154</f>
        <v>0</v>
      </c>
      <c r="E156" s="229"/>
      <c r="F156" s="229"/>
      <c r="G156" s="229"/>
      <c r="H156" s="229"/>
      <c r="I156" s="229"/>
      <c r="J156" s="229"/>
      <c r="K156" s="229"/>
      <c r="L156" s="229"/>
      <c r="M156" s="229"/>
      <c r="N156" s="229"/>
      <c r="O156" s="229"/>
      <c r="P156" s="229"/>
      <c r="Q156" s="229"/>
      <c r="R156" s="229"/>
      <c r="S156" s="229"/>
      <c r="T156" s="229"/>
      <c r="U156" s="229"/>
      <c r="V156" s="229"/>
      <c r="W156" s="229"/>
      <c r="X156" s="229"/>
      <c r="Y156" s="229"/>
      <c r="Z156" s="229"/>
      <c r="AA156" s="229"/>
      <c r="AB156" s="229"/>
      <c r="AC156" s="229"/>
      <c r="AD156" s="229"/>
      <c r="AE156" s="229"/>
      <c r="AF156" s="229"/>
      <c r="AG156" s="229"/>
      <c r="AH156" s="229"/>
      <c r="AI156" s="229"/>
      <c r="AJ156" s="229"/>
      <c r="AK156" s="229"/>
      <c r="AL156" s="229"/>
      <c r="AM156" s="229"/>
      <c r="AN156" s="229"/>
      <c r="AO156" s="229"/>
      <c r="AP156" s="229"/>
      <c r="AQ156" s="229"/>
      <c r="AR156" s="229"/>
      <c r="AS156" s="229"/>
      <c r="AT156" s="229"/>
      <c r="AU156" s="229"/>
      <c r="AV156" s="229"/>
      <c r="AW156" s="229"/>
      <c r="AX156" s="229"/>
      <c r="AY156" s="229"/>
      <c r="AZ156" s="229"/>
      <c r="BA156" s="229"/>
      <c r="BB156" s="229"/>
      <c r="BC156" s="229"/>
      <c r="BD156" s="229"/>
      <c r="BE156" s="229"/>
      <c r="BF156" s="229"/>
      <c r="BG156" s="229"/>
      <c r="BH156" s="229"/>
      <c r="BI156" s="229"/>
      <c r="BJ156" s="229"/>
      <c r="BK156" s="229"/>
      <c r="BL156" s="229"/>
      <c r="BM156" s="229"/>
      <c r="BN156" s="229"/>
      <c r="BO156" s="229"/>
      <c r="BP156" s="229"/>
      <c r="BQ156" s="229"/>
      <c r="BR156" s="229"/>
      <c r="BS156" s="229"/>
      <c r="BT156" s="229"/>
      <c r="BU156" s="229"/>
      <c r="BV156" s="229"/>
      <c r="BW156" s="229"/>
      <c r="BX156" s="229"/>
    </row>
    <row r="157" spans="3:76" outlineLevel="1">
      <c r="C157" s="311" t="s">
        <v>271</v>
      </c>
      <c r="D157" s="325">
        <f>BX148+BX149</f>
        <v>0</v>
      </c>
      <c r="E157" s="229"/>
      <c r="F157" s="229"/>
      <c r="G157" s="229"/>
      <c r="H157" s="229"/>
      <c r="I157" s="229"/>
      <c r="J157" s="229"/>
      <c r="K157" s="229"/>
      <c r="L157" s="229"/>
      <c r="M157" s="229"/>
      <c r="N157" s="229"/>
      <c r="O157" s="229"/>
      <c r="P157" s="229"/>
      <c r="Q157" s="229"/>
      <c r="R157" s="229"/>
      <c r="S157" s="229"/>
      <c r="T157" s="229"/>
      <c r="U157" s="229"/>
      <c r="V157" s="229"/>
      <c r="W157" s="229"/>
      <c r="X157" s="229"/>
      <c r="Y157" s="229"/>
      <c r="Z157" s="229"/>
      <c r="AA157" s="229"/>
      <c r="AB157" s="229"/>
      <c r="AC157" s="229"/>
      <c r="AD157" s="229"/>
      <c r="AE157" s="229"/>
      <c r="AF157" s="229"/>
      <c r="AG157" s="229"/>
      <c r="AH157" s="229"/>
      <c r="AI157" s="229"/>
      <c r="AJ157" s="229"/>
      <c r="AK157" s="229"/>
      <c r="AL157" s="229"/>
      <c r="AM157" s="229"/>
      <c r="AN157" s="229"/>
      <c r="AO157" s="229"/>
      <c r="AP157" s="229"/>
      <c r="AQ157" s="229"/>
      <c r="AR157" s="229"/>
      <c r="AS157" s="229"/>
      <c r="AT157" s="229"/>
      <c r="AU157" s="229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29"/>
      <c r="BF157" s="229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29"/>
      <c r="BQ157" s="229"/>
      <c r="BR157" s="229"/>
      <c r="BS157" s="229"/>
      <c r="BT157" s="229"/>
      <c r="BU157" s="229"/>
      <c r="BV157" s="229"/>
      <c r="BW157" s="229"/>
      <c r="BX157" s="229"/>
    </row>
    <row r="158" spans="3:76" outlineLevel="1">
      <c r="C158" s="311" t="s">
        <v>272</v>
      </c>
      <c r="D158" s="322" t="e">
        <f>(D157-D155)/D156</f>
        <v>#DIV/0!</v>
      </c>
      <c r="E158" s="229"/>
      <c r="F158" s="229"/>
      <c r="G158" s="229"/>
      <c r="H158" s="229"/>
      <c r="I158" s="229"/>
      <c r="J158" s="229"/>
      <c r="K158" s="229"/>
      <c r="L158" s="229"/>
      <c r="M158" s="229"/>
      <c r="N158" s="229"/>
      <c r="O158" s="229"/>
      <c r="P158" s="229"/>
      <c r="Q158" s="229"/>
      <c r="R158" s="229"/>
      <c r="S158" s="229"/>
      <c r="T158" s="229"/>
      <c r="U158" s="229"/>
      <c r="V158" s="229"/>
      <c r="W158" s="229"/>
      <c r="X158" s="229"/>
      <c r="Y158" s="229"/>
      <c r="Z158" s="229"/>
      <c r="AA158" s="229"/>
      <c r="AB158" s="229"/>
      <c r="AC158" s="229"/>
      <c r="AD158" s="229"/>
      <c r="AE158" s="229"/>
      <c r="AF158" s="229"/>
      <c r="AG158" s="229"/>
      <c r="AH158" s="229"/>
      <c r="AI158" s="229"/>
      <c r="AJ158" s="229"/>
      <c r="AK158" s="229"/>
      <c r="AL158" s="229"/>
      <c r="AM158" s="229"/>
      <c r="AN158" s="229"/>
      <c r="AO158" s="229"/>
      <c r="AP158" s="229"/>
      <c r="AQ158" s="229"/>
      <c r="AR158" s="229"/>
      <c r="AS158" s="229"/>
      <c r="AT158" s="229"/>
      <c r="AU158" s="229"/>
      <c r="AV158" s="229"/>
      <c r="AW158" s="229"/>
      <c r="AX158" s="229"/>
      <c r="AY158" s="229"/>
      <c r="AZ158" s="229"/>
      <c r="BA158" s="229"/>
      <c r="BB158" s="229"/>
      <c r="BC158" s="229"/>
      <c r="BD158" s="229"/>
      <c r="BE158" s="229"/>
      <c r="BF158" s="229"/>
      <c r="BG158" s="229"/>
      <c r="BH158" s="229"/>
      <c r="BI158" s="229"/>
      <c r="BJ158" s="229"/>
      <c r="BK158" s="229"/>
      <c r="BL158" s="229"/>
      <c r="BM158" s="229"/>
      <c r="BN158" s="229"/>
      <c r="BO158" s="229"/>
      <c r="BP158" s="229"/>
      <c r="BQ158" s="229"/>
      <c r="BR158" s="229"/>
      <c r="BS158" s="229"/>
      <c r="BT158" s="229"/>
      <c r="BU158" s="229"/>
      <c r="BV158" s="229"/>
      <c r="BW158" s="229"/>
      <c r="BX158" s="229"/>
    </row>
  </sheetData>
  <mergeCells count="34">
    <mergeCell ref="B18:B80"/>
    <mergeCell ref="B81:C81"/>
    <mergeCell ref="B2:C4"/>
    <mergeCell ref="B5:B8"/>
    <mergeCell ref="B9:B11"/>
    <mergeCell ref="B12:B16"/>
    <mergeCell ref="B17:C17"/>
    <mergeCell ref="B82:C82"/>
    <mergeCell ref="B83:C83"/>
    <mergeCell ref="B84:C84"/>
    <mergeCell ref="D90:E90"/>
    <mergeCell ref="D93:BW93"/>
    <mergeCell ref="BY73:BZ73"/>
    <mergeCell ref="BZ74:BZ80"/>
    <mergeCell ref="BY81:BZ81"/>
    <mergeCell ref="BY82:BZ82"/>
    <mergeCell ref="BY83:BZ83"/>
    <mergeCell ref="BM2:BX2"/>
    <mergeCell ref="BY2:BZ4"/>
    <mergeCell ref="BZ12:BZ16"/>
    <mergeCell ref="BZ18:BZ72"/>
    <mergeCell ref="CE18:CE72"/>
    <mergeCell ref="BZ5:BZ8"/>
    <mergeCell ref="CE5:CE8"/>
    <mergeCell ref="BZ9:BZ11"/>
    <mergeCell ref="CE9:CE11"/>
    <mergeCell ref="CE12:CE16"/>
    <mergeCell ref="BY17:BZ17"/>
    <mergeCell ref="CD17:CE17"/>
    <mergeCell ref="E2:P2"/>
    <mergeCell ref="Q2:AB2"/>
    <mergeCell ref="AC2:AN2"/>
    <mergeCell ref="AO2:AZ2"/>
    <mergeCell ref="BA2:BL2"/>
  </mergeCells>
  <conditionalFormatting sqref="E18:BX18 E24:BX24 E27:BX27 E35:BX35 E38:BX38 E48:BX48 E54:BX54 E62:BX62 E70:BX70 E73:BX73">
    <cfRule type="cellIs" dxfId="15" priority="1" operator="equal">
      <formula>0</formula>
    </cfRule>
  </conditionalFormatting>
  <conditionalFormatting sqref="F98:BS101 E99 BT99:BX99 E101 BT101:BX101 E113 F113:BX116 E115 E129 M129:BX129 F129:L132 E131 M131:BX131 E148:BX148">
    <cfRule type="cellIs" dxfId="14" priority="2" operator="equal">
      <formula>0</formula>
    </cfRule>
  </conditionalFormatting>
  <dataValidations count="1">
    <dataValidation type="list" allowBlank="1" showErrorMessage="1" sqref="CD4" xr:uid="{00000000-0002-0000-0500-000000000000}">
      <formula1>$D$3:$BX$3</formula1>
    </dataValidation>
  </dataValidations>
  <pageMargins left="0" right="0" top="0" bottom="0" header="0" footer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B2:T79"/>
  <sheetViews>
    <sheetView workbookViewId="0"/>
  </sheetViews>
  <sheetFormatPr defaultColWidth="12.625" defaultRowHeight="15" customHeight="1"/>
  <sheetData>
    <row r="2" spans="2:20" ht="14.1">
      <c r="B2" s="548" t="s">
        <v>279</v>
      </c>
      <c r="C2" s="559"/>
      <c r="D2" s="559"/>
      <c r="E2" s="559"/>
      <c r="G2" s="548" t="s">
        <v>280</v>
      </c>
      <c r="H2" s="559"/>
      <c r="I2" s="559"/>
      <c r="J2" s="559"/>
      <c r="L2" s="548" t="s">
        <v>281</v>
      </c>
      <c r="M2" s="559"/>
      <c r="N2" s="559"/>
      <c r="O2" s="559"/>
      <c r="Q2" s="548" t="s">
        <v>282</v>
      </c>
      <c r="R2" s="559"/>
      <c r="S2" s="559"/>
      <c r="T2" s="559"/>
    </row>
    <row r="3" spans="2:20" ht="15" customHeight="1">
      <c r="B3" s="559"/>
      <c r="C3" s="559"/>
      <c r="D3" s="559"/>
      <c r="E3" s="559"/>
      <c r="G3" s="559"/>
      <c r="H3" s="559"/>
      <c r="I3" s="559"/>
      <c r="J3" s="559"/>
      <c r="L3" s="559"/>
      <c r="M3" s="559"/>
      <c r="N3" s="559"/>
      <c r="O3" s="559"/>
      <c r="Q3" s="559"/>
      <c r="R3" s="559"/>
      <c r="S3" s="559"/>
      <c r="T3" s="559"/>
    </row>
    <row r="7" spans="2:20" ht="14.1">
      <c r="B7" s="329" t="s">
        <v>283</v>
      </c>
      <c r="C7" s="330" t="s">
        <v>284</v>
      </c>
      <c r="D7" s="331" t="s">
        <v>247</v>
      </c>
      <c r="E7" s="332" t="s">
        <v>285</v>
      </c>
      <c r="G7" s="329" t="s">
        <v>283</v>
      </c>
      <c r="H7" s="330" t="s">
        <v>284</v>
      </c>
      <c r="I7" s="331" t="s">
        <v>247</v>
      </c>
      <c r="J7" s="332" t="s">
        <v>285</v>
      </c>
      <c r="L7" s="329" t="s">
        <v>283</v>
      </c>
      <c r="M7" s="330" t="s">
        <v>284</v>
      </c>
      <c r="N7" s="331" t="s">
        <v>247</v>
      </c>
      <c r="O7" s="332" t="s">
        <v>285</v>
      </c>
      <c r="Q7" s="329" t="s">
        <v>283</v>
      </c>
      <c r="R7" s="330" t="s">
        <v>284</v>
      </c>
      <c r="S7" s="331" t="s">
        <v>247</v>
      </c>
      <c r="T7" s="332" t="s">
        <v>285</v>
      </c>
    </row>
    <row r="8" spans="2:20" ht="14.1">
      <c r="B8" s="333">
        <v>45292</v>
      </c>
      <c r="C8" s="334">
        <f t="array" ref="C8:C79">TRANSPOSE('Cash-flow BASE'!E97:BX97)</f>
        <v>0</v>
      </c>
      <c r="D8" s="335">
        <f>0-C8</f>
        <v>0</v>
      </c>
      <c r="E8" s="336">
        <f>D8*'Cash-flow BASE'!$D$55/12</f>
        <v>0</v>
      </c>
      <c r="G8" s="333">
        <v>45292</v>
      </c>
      <c r="H8" s="337">
        <f t="array" ref="H8:H79">TRANSPOSE('Cash-flow BASE'!E113:BX113)</f>
        <v>0</v>
      </c>
      <c r="I8" s="335">
        <f>0-H8</f>
        <v>0</v>
      </c>
      <c r="J8" s="336">
        <f>I8*'Cash-flow BASE'!$D$56/12</f>
        <v>0</v>
      </c>
      <c r="L8" s="333">
        <v>45292</v>
      </c>
      <c r="M8" s="337">
        <f t="array" ref="M8:M79">TRANSPOSE('Cash-flow BASE'!E129:BX129)</f>
        <v>0</v>
      </c>
      <c r="N8" s="335">
        <f>0-M8</f>
        <v>0</v>
      </c>
      <c r="O8" s="336">
        <f>N8*'Cash-flow BASE'!$D$57/12</f>
        <v>0</v>
      </c>
      <c r="Q8" s="333">
        <v>45292</v>
      </c>
      <c r="R8" s="334">
        <f t="array" ref="R8:R79">TRANSPOSE('Cash-flow BASE'!E146:BX146)</f>
        <v>0</v>
      </c>
      <c r="S8" s="335">
        <f>0-R8</f>
        <v>0</v>
      </c>
      <c r="T8" s="336">
        <f>S8*'Cash-flow BASE'!$D$58/12</f>
        <v>0</v>
      </c>
    </row>
    <row r="9" spans="2:20" ht="14.1">
      <c r="B9" s="338">
        <v>45323</v>
      </c>
      <c r="C9" s="334">
        <v>0</v>
      </c>
      <c r="D9" s="335">
        <f t="shared" ref="D9:D78" si="0">D8-C9</f>
        <v>0</v>
      </c>
      <c r="E9" s="336">
        <f>D9*'Cash-flow BASE'!$D$55/12</f>
        <v>0</v>
      </c>
      <c r="G9" s="338">
        <v>45323</v>
      </c>
      <c r="H9" s="334">
        <v>0</v>
      </c>
      <c r="I9" s="335">
        <f t="shared" ref="I9:I78" si="1">I8-H9</f>
        <v>0</v>
      </c>
      <c r="J9" s="336">
        <f>I9*'Cash-flow BASE'!$D$56/12</f>
        <v>0</v>
      </c>
      <c r="L9" s="338">
        <v>45323</v>
      </c>
      <c r="M9" s="334">
        <v>0</v>
      </c>
      <c r="N9" s="335">
        <f t="shared" ref="N9:N78" si="2">N8-M9</f>
        <v>0</v>
      </c>
      <c r="O9" s="336">
        <f>N9*'Cash-flow BASE'!$D$57/12</f>
        <v>0</v>
      </c>
      <c r="Q9" s="338">
        <v>45323</v>
      </c>
      <c r="R9" s="334">
        <v>0</v>
      </c>
      <c r="S9" s="335">
        <f t="shared" ref="S9:S78" si="3">S8-R9</f>
        <v>0</v>
      </c>
      <c r="T9" s="336">
        <f>S9*'Cash-flow BASE'!$D$58/12</f>
        <v>0</v>
      </c>
    </row>
    <row r="10" spans="2:20" ht="14.1">
      <c r="B10" s="338">
        <v>45352</v>
      </c>
      <c r="C10" s="334">
        <v>0</v>
      </c>
      <c r="D10" s="335">
        <f t="shared" si="0"/>
        <v>0</v>
      </c>
      <c r="E10" s="336">
        <f>D10*'Cash-flow BASE'!$D$55/12</f>
        <v>0</v>
      </c>
      <c r="G10" s="338">
        <v>45352</v>
      </c>
      <c r="H10" s="334">
        <v>0</v>
      </c>
      <c r="I10" s="335">
        <f t="shared" si="1"/>
        <v>0</v>
      </c>
      <c r="J10" s="336">
        <f>I10*'Cash-flow BASE'!$D$56/12</f>
        <v>0</v>
      </c>
      <c r="L10" s="338">
        <v>45352</v>
      </c>
      <c r="M10" s="334">
        <v>0</v>
      </c>
      <c r="N10" s="335">
        <f t="shared" si="2"/>
        <v>0</v>
      </c>
      <c r="O10" s="336">
        <f>N10*'Cash-flow BASE'!$D$57/12</f>
        <v>0</v>
      </c>
      <c r="Q10" s="338">
        <v>45352</v>
      </c>
      <c r="R10" s="334">
        <v>0</v>
      </c>
      <c r="S10" s="335">
        <f t="shared" si="3"/>
        <v>0</v>
      </c>
      <c r="T10" s="336">
        <f>S10*'Cash-flow BASE'!$D$58/12</f>
        <v>0</v>
      </c>
    </row>
    <row r="11" spans="2:20" ht="14.1">
      <c r="B11" s="338">
        <v>45383</v>
      </c>
      <c r="C11" s="334">
        <v>0</v>
      </c>
      <c r="D11" s="335">
        <f t="shared" si="0"/>
        <v>0</v>
      </c>
      <c r="E11" s="336">
        <f>D11*'Cash-flow BASE'!$D$55/12</f>
        <v>0</v>
      </c>
      <c r="G11" s="338">
        <v>45383</v>
      </c>
      <c r="H11" s="334">
        <v>0</v>
      </c>
      <c r="I11" s="335">
        <f t="shared" si="1"/>
        <v>0</v>
      </c>
      <c r="J11" s="336">
        <f>I11*'Cash-flow BASE'!$D$56/12</f>
        <v>0</v>
      </c>
      <c r="L11" s="338">
        <v>45383</v>
      </c>
      <c r="M11" s="334">
        <v>0</v>
      </c>
      <c r="N11" s="335">
        <f t="shared" si="2"/>
        <v>0</v>
      </c>
      <c r="O11" s="336">
        <f>N11*'Cash-flow BASE'!$D$57/12</f>
        <v>0</v>
      </c>
      <c r="Q11" s="338">
        <v>45383</v>
      </c>
      <c r="R11" s="334">
        <v>0</v>
      </c>
      <c r="S11" s="335">
        <f t="shared" si="3"/>
        <v>0</v>
      </c>
      <c r="T11" s="336">
        <f>S11*'Cash-flow BASE'!$D$58/12</f>
        <v>0</v>
      </c>
    </row>
    <row r="12" spans="2:20" ht="14.1">
      <c r="B12" s="338">
        <v>45413</v>
      </c>
      <c r="C12" s="334">
        <v>-87324</v>
      </c>
      <c r="D12" s="335">
        <f t="shared" si="0"/>
        <v>87324</v>
      </c>
      <c r="E12" s="336">
        <f>D12*'Cash-flow BASE'!$D$55/12</f>
        <v>800.46999999999991</v>
      </c>
      <c r="G12" s="338">
        <v>45413</v>
      </c>
      <c r="H12" s="334">
        <v>0</v>
      </c>
      <c r="I12" s="335">
        <f t="shared" si="1"/>
        <v>0</v>
      </c>
      <c r="J12" s="336">
        <f>I12*'Cash-flow BASE'!$D$56/12</f>
        <v>0</v>
      </c>
      <c r="L12" s="338">
        <v>45413</v>
      </c>
      <c r="M12" s="334">
        <v>0</v>
      </c>
      <c r="N12" s="335">
        <f t="shared" si="2"/>
        <v>0</v>
      </c>
      <c r="O12" s="336">
        <f>N12*'Cash-flow BASE'!$D$57/12</f>
        <v>0</v>
      </c>
      <c r="Q12" s="338">
        <v>45413</v>
      </c>
      <c r="R12" s="334">
        <v>0</v>
      </c>
      <c r="S12" s="335">
        <f t="shared" si="3"/>
        <v>0</v>
      </c>
      <c r="T12" s="336">
        <f>S12*'Cash-flow BASE'!$D$58/12</f>
        <v>0</v>
      </c>
    </row>
    <row r="13" spans="2:20" ht="14.1">
      <c r="B13" s="339">
        <v>45444</v>
      </c>
      <c r="C13" s="334">
        <v>-100000</v>
      </c>
      <c r="D13" s="335">
        <f t="shared" si="0"/>
        <v>187324</v>
      </c>
      <c r="E13" s="336">
        <f>D13*'Cash-flow BASE'!$D$55/12</f>
        <v>1717.1366666666665</v>
      </c>
      <c r="G13" s="339">
        <v>45444</v>
      </c>
      <c r="H13" s="334">
        <v>0</v>
      </c>
      <c r="I13" s="335">
        <f t="shared" si="1"/>
        <v>0</v>
      </c>
      <c r="J13" s="336">
        <f>I13*'Cash-flow BASE'!$D$56/12</f>
        <v>0</v>
      </c>
      <c r="L13" s="339">
        <v>45444</v>
      </c>
      <c r="M13" s="334">
        <v>0</v>
      </c>
      <c r="N13" s="335">
        <f t="shared" si="2"/>
        <v>0</v>
      </c>
      <c r="O13" s="336">
        <f>N13*'Cash-flow BASE'!$D$57/12</f>
        <v>0</v>
      </c>
      <c r="Q13" s="339">
        <v>45444</v>
      </c>
      <c r="R13" s="334">
        <v>0</v>
      </c>
      <c r="S13" s="335">
        <f t="shared" si="3"/>
        <v>0</v>
      </c>
      <c r="T13" s="336">
        <f>S13*'Cash-flow BASE'!$D$58/12</f>
        <v>0</v>
      </c>
    </row>
    <row r="14" spans="2:20" ht="14.1">
      <c r="B14" s="338">
        <v>45474</v>
      </c>
      <c r="C14" s="334">
        <v>3400000</v>
      </c>
      <c r="D14" s="335">
        <f t="shared" si="0"/>
        <v>-3212676</v>
      </c>
      <c r="E14" s="336">
        <f>D14*'Cash-flow BASE'!$D$55/12</f>
        <v>-29449.53</v>
      </c>
      <c r="G14" s="338">
        <v>45474</v>
      </c>
      <c r="H14" s="334">
        <v>0</v>
      </c>
      <c r="I14" s="335">
        <f t="shared" si="1"/>
        <v>0</v>
      </c>
      <c r="J14" s="336">
        <f>I14*'Cash-flow BASE'!$D$56/12</f>
        <v>0</v>
      </c>
      <c r="L14" s="338">
        <v>45474</v>
      </c>
      <c r="M14" s="334">
        <v>0</v>
      </c>
      <c r="N14" s="335">
        <f t="shared" si="2"/>
        <v>0</v>
      </c>
      <c r="O14" s="336">
        <f>N14*'Cash-flow BASE'!$D$57/12</f>
        <v>0</v>
      </c>
      <c r="Q14" s="338">
        <v>45474</v>
      </c>
      <c r="R14" s="334">
        <v>0</v>
      </c>
      <c r="S14" s="335">
        <f t="shared" si="3"/>
        <v>0</v>
      </c>
      <c r="T14" s="336">
        <f>S14*'Cash-flow BASE'!$D$58/12</f>
        <v>0</v>
      </c>
    </row>
    <row r="15" spans="2:20" ht="14.1">
      <c r="B15" s="338">
        <v>45505</v>
      </c>
      <c r="C15" s="334">
        <v>-5024500</v>
      </c>
      <c r="D15" s="335">
        <f t="shared" si="0"/>
        <v>1811824</v>
      </c>
      <c r="E15" s="336">
        <f>D15*'Cash-flow BASE'!$D$55/12</f>
        <v>16608.386666666669</v>
      </c>
      <c r="G15" s="338">
        <v>45505</v>
      </c>
      <c r="H15" s="334">
        <v>0</v>
      </c>
      <c r="I15" s="335">
        <f t="shared" si="1"/>
        <v>0</v>
      </c>
      <c r="J15" s="336">
        <f>I15*'Cash-flow BASE'!$D$56/12</f>
        <v>0</v>
      </c>
      <c r="L15" s="338">
        <v>45505</v>
      </c>
      <c r="M15" s="334">
        <v>0</v>
      </c>
      <c r="N15" s="335">
        <f t="shared" si="2"/>
        <v>0</v>
      </c>
      <c r="O15" s="336">
        <f>N15*'Cash-flow BASE'!$D$57/12</f>
        <v>0</v>
      </c>
      <c r="Q15" s="338">
        <v>45505</v>
      </c>
      <c r="R15" s="334">
        <v>0</v>
      </c>
      <c r="S15" s="335">
        <f t="shared" si="3"/>
        <v>0</v>
      </c>
      <c r="T15" s="336">
        <f>S15*'Cash-flow BASE'!$D$58/12</f>
        <v>0</v>
      </c>
    </row>
    <row r="16" spans="2:20" ht="14.1">
      <c r="B16" s="338">
        <v>45536</v>
      </c>
      <c r="C16" s="334">
        <v>-1000</v>
      </c>
      <c r="D16" s="335">
        <f t="shared" si="0"/>
        <v>1812824</v>
      </c>
      <c r="E16" s="336">
        <f>D16*'Cash-flow BASE'!$D$55/12</f>
        <v>16617.553333333333</v>
      </c>
      <c r="G16" s="338">
        <v>45536</v>
      </c>
      <c r="H16" s="334">
        <v>0</v>
      </c>
      <c r="I16" s="335">
        <f t="shared" si="1"/>
        <v>0</v>
      </c>
      <c r="J16" s="336">
        <f>I16*'Cash-flow BASE'!$D$56/12</f>
        <v>0</v>
      </c>
      <c r="L16" s="338">
        <v>45536</v>
      </c>
      <c r="M16" s="334">
        <v>0</v>
      </c>
      <c r="N16" s="335">
        <f t="shared" si="2"/>
        <v>0</v>
      </c>
      <c r="O16" s="336">
        <f>N16*'Cash-flow BASE'!$D$57/12</f>
        <v>0</v>
      </c>
      <c r="Q16" s="338">
        <v>45536</v>
      </c>
      <c r="R16" s="334">
        <v>0</v>
      </c>
      <c r="S16" s="335">
        <f t="shared" si="3"/>
        <v>0</v>
      </c>
      <c r="T16" s="336">
        <f>S16*'Cash-flow BASE'!$D$58/12</f>
        <v>0</v>
      </c>
    </row>
    <row r="17" spans="2:20" ht="14.1">
      <c r="B17" s="338">
        <v>45566</v>
      </c>
      <c r="C17" s="334">
        <v>-80000</v>
      </c>
      <c r="D17" s="335">
        <f t="shared" si="0"/>
        <v>1892824</v>
      </c>
      <c r="E17" s="336">
        <f>D17*'Cash-flow BASE'!$D$55/12</f>
        <v>17350.886666666669</v>
      </c>
      <c r="G17" s="338">
        <v>45566</v>
      </c>
      <c r="H17" s="334">
        <v>0</v>
      </c>
      <c r="I17" s="335">
        <f t="shared" si="1"/>
        <v>0</v>
      </c>
      <c r="J17" s="336">
        <f>I17*'Cash-flow BASE'!$D$56/12</f>
        <v>0</v>
      </c>
      <c r="L17" s="338">
        <v>45566</v>
      </c>
      <c r="M17" s="334">
        <v>0</v>
      </c>
      <c r="N17" s="335">
        <f t="shared" si="2"/>
        <v>0</v>
      </c>
      <c r="O17" s="336">
        <f>N17*'Cash-flow BASE'!$D$57/12</f>
        <v>0</v>
      </c>
      <c r="Q17" s="338">
        <v>45566</v>
      </c>
      <c r="R17" s="334">
        <v>0</v>
      </c>
      <c r="S17" s="335">
        <f t="shared" si="3"/>
        <v>0</v>
      </c>
      <c r="T17" s="336">
        <f>S17*'Cash-flow BASE'!$D$58/12</f>
        <v>0</v>
      </c>
    </row>
    <row r="18" spans="2:20" ht="14.1">
      <c r="B18" s="338">
        <v>45597</v>
      </c>
      <c r="C18" s="334">
        <v>0</v>
      </c>
      <c r="D18" s="335">
        <f t="shared" si="0"/>
        <v>1892824</v>
      </c>
      <c r="E18" s="336">
        <f>D18*'Cash-flow BASE'!$D$55/12</f>
        <v>17350.886666666669</v>
      </c>
      <c r="G18" s="338">
        <v>45597</v>
      </c>
      <c r="H18" s="334">
        <v>-2381000</v>
      </c>
      <c r="I18" s="335">
        <f t="shared" si="1"/>
        <v>2381000</v>
      </c>
      <c r="J18" s="336">
        <f>I18*'Cash-flow BASE'!$D$56/12</f>
        <v>21825.833333333332</v>
      </c>
      <c r="L18" s="338">
        <v>45597</v>
      </c>
      <c r="M18" s="334">
        <v>0</v>
      </c>
      <c r="N18" s="335">
        <f t="shared" si="2"/>
        <v>0</v>
      </c>
      <c r="O18" s="336">
        <f>N18*'Cash-flow BASE'!$D$57/12</f>
        <v>0</v>
      </c>
      <c r="Q18" s="338">
        <v>45597</v>
      </c>
      <c r="R18" s="334">
        <v>0</v>
      </c>
      <c r="S18" s="335">
        <f t="shared" si="3"/>
        <v>0</v>
      </c>
      <c r="T18" s="336">
        <f>S18*'Cash-flow BASE'!$D$58/12</f>
        <v>0</v>
      </c>
    </row>
    <row r="19" spans="2:20" ht="14.1">
      <c r="B19" s="338">
        <v>45627</v>
      </c>
      <c r="C19" s="334">
        <v>-1050000</v>
      </c>
      <c r="D19" s="335">
        <f t="shared" si="0"/>
        <v>2942824</v>
      </c>
      <c r="E19" s="336">
        <f>D19*'Cash-flow BASE'!$D$55/12</f>
        <v>26975.886666666669</v>
      </c>
      <c r="G19" s="338">
        <v>45627</v>
      </c>
      <c r="H19" s="334">
        <v>-561824</v>
      </c>
      <c r="I19" s="335">
        <f t="shared" si="1"/>
        <v>2942824</v>
      </c>
      <c r="J19" s="336">
        <f>I19*'Cash-flow BASE'!$D$56/12</f>
        <v>26975.886666666669</v>
      </c>
      <c r="L19" s="338">
        <v>45627</v>
      </c>
      <c r="M19" s="334">
        <v>0</v>
      </c>
      <c r="N19" s="335">
        <f t="shared" si="2"/>
        <v>0</v>
      </c>
      <c r="O19" s="336">
        <f>N19*'Cash-flow BASE'!$D$57/12</f>
        <v>0</v>
      </c>
      <c r="Q19" s="338">
        <v>45627</v>
      </c>
      <c r="R19" s="334">
        <v>0</v>
      </c>
      <c r="S19" s="335">
        <f t="shared" si="3"/>
        <v>0</v>
      </c>
      <c r="T19" s="336">
        <f>S19*'Cash-flow BASE'!$D$58/12</f>
        <v>0</v>
      </c>
    </row>
    <row r="20" spans="2:20" ht="14.1">
      <c r="B20" s="333">
        <v>45658</v>
      </c>
      <c r="C20" s="334">
        <v>0</v>
      </c>
      <c r="D20" s="335">
        <f t="shared" si="0"/>
        <v>2942824</v>
      </c>
      <c r="E20" s="336">
        <f>D20*'Cash-flow BASE'!$D$55/12</f>
        <v>26975.886666666669</v>
      </c>
      <c r="G20" s="333">
        <v>45658</v>
      </c>
      <c r="H20" s="334">
        <v>0</v>
      </c>
      <c r="I20" s="335">
        <f t="shared" si="1"/>
        <v>2942824</v>
      </c>
      <c r="J20" s="336">
        <f>I20*'Cash-flow BASE'!$D$56/12</f>
        <v>26975.886666666669</v>
      </c>
      <c r="L20" s="333">
        <v>45658</v>
      </c>
      <c r="M20" s="334">
        <v>0</v>
      </c>
      <c r="N20" s="335">
        <f t="shared" si="2"/>
        <v>0</v>
      </c>
      <c r="O20" s="336">
        <f>N20*'Cash-flow BASE'!$D$57/12</f>
        <v>0</v>
      </c>
      <c r="Q20" s="333">
        <v>45658</v>
      </c>
      <c r="R20" s="334">
        <v>0</v>
      </c>
      <c r="S20" s="335">
        <f t="shared" si="3"/>
        <v>0</v>
      </c>
      <c r="T20" s="336">
        <f>S20*'Cash-flow BASE'!$D$58/12</f>
        <v>0</v>
      </c>
    </row>
    <row r="21" spans="2:20" ht="14.1">
      <c r="B21" s="338">
        <v>45689</v>
      </c>
      <c r="C21" s="334">
        <v>0</v>
      </c>
      <c r="D21" s="335">
        <f t="shared" si="0"/>
        <v>2942824</v>
      </c>
      <c r="E21" s="336">
        <f>D21*'Cash-flow BASE'!$D$55/12</f>
        <v>26975.886666666669</v>
      </c>
      <c r="G21" s="338">
        <v>45689</v>
      </c>
      <c r="H21" s="334">
        <v>0</v>
      </c>
      <c r="I21" s="335">
        <f t="shared" si="1"/>
        <v>2942824</v>
      </c>
      <c r="J21" s="336">
        <f>I21*'Cash-flow BASE'!$D$56/12</f>
        <v>26975.886666666669</v>
      </c>
      <c r="L21" s="338">
        <v>45689</v>
      </c>
      <c r="M21" s="334">
        <v>0</v>
      </c>
      <c r="N21" s="335">
        <f t="shared" si="2"/>
        <v>0</v>
      </c>
      <c r="O21" s="336">
        <f>N21*'Cash-flow BASE'!$D$57/12</f>
        <v>0</v>
      </c>
      <c r="Q21" s="338">
        <v>45689</v>
      </c>
      <c r="R21" s="334">
        <v>0</v>
      </c>
      <c r="S21" s="335">
        <f t="shared" si="3"/>
        <v>0</v>
      </c>
      <c r="T21" s="336">
        <f>S21*'Cash-flow BASE'!$D$58/12</f>
        <v>0</v>
      </c>
    </row>
    <row r="22" spans="2:20" ht="14.1">
      <c r="B22" s="338">
        <v>45717</v>
      </c>
      <c r="C22" s="334">
        <v>-280000</v>
      </c>
      <c r="D22" s="335">
        <f t="shared" si="0"/>
        <v>3222824</v>
      </c>
      <c r="E22" s="336">
        <f>D22*'Cash-flow BASE'!$D$55/12</f>
        <v>29542.553333333333</v>
      </c>
      <c r="G22" s="338">
        <v>45717</v>
      </c>
      <c r="H22" s="334">
        <v>-280000</v>
      </c>
      <c r="I22" s="335">
        <f t="shared" si="1"/>
        <v>3222824</v>
      </c>
      <c r="J22" s="336">
        <f>I22*'Cash-flow BASE'!$D$56/12</f>
        <v>29542.553333333333</v>
      </c>
      <c r="L22" s="338">
        <v>45717</v>
      </c>
      <c r="M22" s="334">
        <v>0</v>
      </c>
      <c r="N22" s="335">
        <f t="shared" si="2"/>
        <v>0</v>
      </c>
      <c r="O22" s="336">
        <f>N22*'Cash-flow BASE'!$D$57/12</f>
        <v>0</v>
      </c>
      <c r="Q22" s="338">
        <v>45717</v>
      </c>
      <c r="R22" s="334">
        <v>0</v>
      </c>
      <c r="S22" s="335">
        <f t="shared" si="3"/>
        <v>0</v>
      </c>
      <c r="T22" s="336">
        <f>S22*'Cash-flow BASE'!$D$58/12</f>
        <v>0</v>
      </c>
    </row>
    <row r="23" spans="2:20" ht="14.1">
      <c r="B23" s="338">
        <v>45748</v>
      </c>
      <c r="C23" s="334">
        <v>0</v>
      </c>
      <c r="D23" s="335">
        <f t="shared" si="0"/>
        <v>3222824</v>
      </c>
      <c r="E23" s="336">
        <f>D23*'Cash-flow BASE'!$D$55/12</f>
        <v>29542.553333333333</v>
      </c>
      <c r="G23" s="338">
        <v>45748</v>
      </c>
      <c r="H23" s="334">
        <v>0</v>
      </c>
      <c r="I23" s="335">
        <f t="shared" si="1"/>
        <v>3222824</v>
      </c>
      <c r="J23" s="336">
        <f>I23*'Cash-flow BASE'!$D$56/12</f>
        <v>29542.553333333333</v>
      </c>
      <c r="L23" s="338">
        <v>45748</v>
      </c>
      <c r="M23" s="334">
        <v>0</v>
      </c>
      <c r="N23" s="335">
        <f t="shared" si="2"/>
        <v>0</v>
      </c>
      <c r="O23" s="336">
        <f>N23*'Cash-flow BASE'!$D$57/12</f>
        <v>0</v>
      </c>
      <c r="Q23" s="338">
        <v>45748</v>
      </c>
      <c r="R23" s="334">
        <v>0</v>
      </c>
      <c r="S23" s="335">
        <f t="shared" si="3"/>
        <v>0</v>
      </c>
      <c r="T23" s="336">
        <f>S23*'Cash-flow BASE'!$D$58/12</f>
        <v>0</v>
      </c>
    </row>
    <row r="24" spans="2:20" ht="14.1">
      <c r="B24" s="338">
        <v>45778</v>
      </c>
      <c r="C24" s="334">
        <v>-1300000</v>
      </c>
      <c r="D24" s="335">
        <f t="shared" si="0"/>
        <v>4522824</v>
      </c>
      <c r="E24" s="336">
        <f>D24*'Cash-flow BASE'!$D$55/12</f>
        <v>41459.22</v>
      </c>
      <c r="G24" s="338">
        <v>45778</v>
      </c>
      <c r="H24" s="334">
        <v>-1300000</v>
      </c>
      <c r="I24" s="335">
        <f t="shared" si="1"/>
        <v>4522824</v>
      </c>
      <c r="J24" s="336">
        <f>I24*'Cash-flow BASE'!$D$56/12</f>
        <v>41459.22</v>
      </c>
      <c r="L24" s="338">
        <v>45778</v>
      </c>
      <c r="M24" s="334">
        <v>0</v>
      </c>
      <c r="N24" s="335">
        <f t="shared" si="2"/>
        <v>0</v>
      </c>
      <c r="O24" s="336">
        <f>N24*'Cash-flow BASE'!$D$57/12</f>
        <v>0</v>
      </c>
      <c r="Q24" s="338">
        <v>45778</v>
      </c>
      <c r="R24" s="334">
        <v>0</v>
      </c>
      <c r="S24" s="335">
        <f t="shared" si="3"/>
        <v>0</v>
      </c>
      <c r="T24" s="336">
        <f>S24*'Cash-flow BASE'!$D$58/12</f>
        <v>0</v>
      </c>
    </row>
    <row r="25" spans="2:20" ht="14.1">
      <c r="B25" s="339">
        <v>45809</v>
      </c>
      <c r="C25" s="334">
        <v>0</v>
      </c>
      <c r="D25" s="335">
        <f t="shared" si="0"/>
        <v>4522824</v>
      </c>
      <c r="E25" s="336">
        <f>D25*'Cash-flow BASE'!$D$55/12</f>
        <v>41459.22</v>
      </c>
      <c r="G25" s="339">
        <v>45809</v>
      </c>
      <c r="H25" s="334">
        <v>0</v>
      </c>
      <c r="I25" s="335">
        <f t="shared" si="1"/>
        <v>4522824</v>
      </c>
      <c r="J25" s="336">
        <f>I25*'Cash-flow BASE'!$D$56/12</f>
        <v>41459.22</v>
      </c>
      <c r="L25" s="339">
        <v>45809</v>
      </c>
      <c r="M25" s="334">
        <v>0</v>
      </c>
      <c r="N25" s="335">
        <f t="shared" si="2"/>
        <v>0</v>
      </c>
      <c r="O25" s="336">
        <f>N25*'Cash-flow BASE'!$D$57/12</f>
        <v>0</v>
      </c>
      <c r="Q25" s="339">
        <v>45809</v>
      </c>
      <c r="R25" s="334">
        <v>0</v>
      </c>
      <c r="S25" s="335">
        <f t="shared" si="3"/>
        <v>0</v>
      </c>
      <c r="T25" s="336">
        <f>S25*'Cash-flow BASE'!$D$58/12</f>
        <v>0</v>
      </c>
    </row>
    <row r="26" spans="2:20" ht="14.1">
      <c r="B26" s="338">
        <v>45839</v>
      </c>
      <c r="C26" s="334">
        <v>0</v>
      </c>
      <c r="D26" s="335">
        <f t="shared" si="0"/>
        <v>4522824</v>
      </c>
      <c r="E26" s="336">
        <f>D26*'Cash-flow BASE'!$D$55/12</f>
        <v>41459.22</v>
      </c>
      <c r="G26" s="338">
        <v>45839</v>
      </c>
      <c r="H26" s="334">
        <v>0</v>
      </c>
      <c r="I26" s="335">
        <f t="shared" si="1"/>
        <v>4522824</v>
      </c>
      <c r="J26" s="336">
        <f>I26*'Cash-flow BASE'!$D$56/12</f>
        <v>41459.22</v>
      </c>
      <c r="L26" s="338">
        <v>45839</v>
      </c>
      <c r="M26" s="334">
        <v>0</v>
      </c>
      <c r="N26" s="335">
        <f t="shared" si="2"/>
        <v>0</v>
      </c>
      <c r="O26" s="336">
        <f>N26*'Cash-flow BASE'!$D$57/12</f>
        <v>0</v>
      </c>
      <c r="Q26" s="338">
        <v>45839</v>
      </c>
      <c r="R26" s="334">
        <v>0</v>
      </c>
      <c r="S26" s="335">
        <f t="shared" si="3"/>
        <v>0</v>
      </c>
      <c r="T26" s="336">
        <f>S26*'Cash-flow BASE'!$D$58/12</f>
        <v>0</v>
      </c>
    </row>
    <row r="27" spans="2:20" ht="14.1">
      <c r="B27" s="338">
        <v>45870</v>
      </c>
      <c r="C27" s="334">
        <v>0</v>
      </c>
      <c r="D27" s="335">
        <f t="shared" si="0"/>
        <v>4522824</v>
      </c>
      <c r="E27" s="336">
        <f>D27*'Cash-flow BASE'!$D$55/12</f>
        <v>41459.22</v>
      </c>
      <c r="G27" s="338">
        <v>45870</v>
      </c>
      <c r="H27" s="334">
        <v>0</v>
      </c>
      <c r="I27" s="335">
        <f t="shared" si="1"/>
        <v>4522824</v>
      </c>
      <c r="J27" s="336">
        <f>I27*'Cash-flow BASE'!$D$56/12</f>
        <v>41459.22</v>
      </c>
      <c r="L27" s="338">
        <v>45870</v>
      </c>
      <c r="M27" s="334">
        <v>0</v>
      </c>
      <c r="N27" s="335">
        <f t="shared" si="2"/>
        <v>0</v>
      </c>
      <c r="O27" s="336">
        <f>N27*'Cash-flow BASE'!$D$57/12</f>
        <v>0</v>
      </c>
      <c r="Q27" s="338">
        <v>45870</v>
      </c>
      <c r="R27" s="334">
        <v>0</v>
      </c>
      <c r="S27" s="335">
        <f t="shared" si="3"/>
        <v>0</v>
      </c>
      <c r="T27" s="336">
        <f>S27*'Cash-flow BASE'!$D$58/12</f>
        <v>0</v>
      </c>
    </row>
    <row r="28" spans="2:20" ht="14.1">
      <c r="B28" s="338">
        <v>45901</v>
      </c>
      <c r="C28" s="334">
        <v>-500000</v>
      </c>
      <c r="D28" s="335">
        <f t="shared" si="0"/>
        <v>5022824</v>
      </c>
      <c r="E28" s="336">
        <f>D28*'Cash-flow BASE'!$D$55/12</f>
        <v>46042.553333333337</v>
      </c>
      <c r="G28" s="338">
        <v>45901</v>
      </c>
      <c r="H28" s="334">
        <v>-500000</v>
      </c>
      <c r="I28" s="335">
        <f t="shared" si="1"/>
        <v>5022824</v>
      </c>
      <c r="J28" s="336">
        <f>I28*'Cash-flow BASE'!$D$56/12</f>
        <v>46042.553333333337</v>
      </c>
      <c r="L28" s="338">
        <v>45901</v>
      </c>
      <c r="M28" s="334">
        <v>0</v>
      </c>
      <c r="N28" s="335">
        <f t="shared" si="2"/>
        <v>0</v>
      </c>
      <c r="O28" s="336">
        <f>N28*'Cash-flow BASE'!$D$57/12</f>
        <v>0</v>
      </c>
      <c r="Q28" s="338">
        <v>45901</v>
      </c>
      <c r="R28" s="334">
        <v>0</v>
      </c>
      <c r="S28" s="335">
        <f t="shared" si="3"/>
        <v>0</v>
      </c>
      <c r="T28" s="336">
        <f>S28*'Cash-flow BASE'!$D$58/12</f>
        <v>0</v>
      </c>
    </row>
    <row r="29" spans="2:20" ht="14.1">
      <c r="B29" s="338">
        <v>45931</v>
      </c>
      <c r="C29" s="334">
        <v>-3500000</v>
      </c>
      <c r="D29" s="335">
        <f t="shared" si="0"/>
        <v>8522824</v>
      </c>
      <c r="E29" s="336">
        <f>D29*'Cash-flow BASE'!$D$55/12</f>
        <v>78125.886666666673</v>
      </c>
      <c r="G29" s="338">
        <v>45931</v>
      </c>
      <c r="H29" s="334">
        <v>-3500000</v>
      </c>
      <c r="I29" s="335">
        <f t="shared" si="1"/>
        <v>8522824</v>
      </c>
      <c r="J29" s="336">
        <f>I29*'Cash-flow BASE'!$D$56/12</f>
        <v>78125.886666666673</v>
      </c>
      <c r="L29" s="338">
        <v>45931</v>
      </c>
      <c r="M29" s="334">
        <v>0</v>
      </c>
      <c r="N29" s="335">
        <f t="shared" si="2"/>
        <v>0</v>
      </c>
      <c r="O29" s="336">
        <f>N29*'Cash-flow BASE'!$D$57/12</f>
        <v>0</v>
      </c>
      <c r="Q29" s="338">
        <v>45931</v>
      </c>
      <c r="R29" s="334">
        <v>0</v>
      </c>
      <c r="S29" s="335">
        <f t="shared" si="3"/>
        <v>0</v>
      </c>
      <c r="T29" s="336">
        <f>S29*'Cash-flow BASE'!$D$58/12</f>
        <v>0</v>
      </c>
    </row>
    <row r="30" spans="2:20" ht="14.1">
      <c r="B30" s="338">
        <v>45962</v>
      </c>
      <c r="C30" s="334">
        <v>-4000000</v>
      </c>
      <c r="D30" s="335">
        <f t="shared" si="0"/>
        <v>12522824</v>
      </c>
      <c r="E30" s="336">
        <f>D30*'Cash-flow BASE'!$D$55/12</f>
        <v>114792.55333333333</v>
      </c>
      <c r="G30" s="338">
        <v>45962</v>
      </c>
      <c r="H30" s="334">
        <v>-4000000</v>
      </c>
      <c r="I30" s="335">
        <f t="shared" si="1"/>
        <v>12522824</v>
      </c>
      <c r="J30" s="336">
        <f>I30*'Cash-flow BASE'!$D$56/12</f>
        <v>114792.55333333333</v>
      </c>
      <c r="L30" s="338">
        <v>45962</v>
      </c>
      <c r="M30" s="334">
        <v>0</v>
      </c>
      <c r="N30" s="335">
        <f t="shared" si="2"/>
        <v>0</v>
      </c>
      <c r="O30" s="336">
        <f>N30*'Cash-flow BASE'!$D$57/12</f>
        <v>0</v>
      </c>
      <c r="Q30" s="338">
        <v>45962</v>
      </c>
      <c r="R30" s="334">
        <v>0</v>
      </c>
      <c r="S30" s="335">
        <f t="shared" si="3"/>
        <v>0</v>
      </c>
      <c r="T30" s="336">
        <f>S30*'Cash-flow BASE'!$D$58/12</f>
        <v>0</v>
      </c>
    </row>
    <row r="31" spans="2:20" ht="14.1">
      <c r="B31" s="338">
        <v>45992</v>
      </c>
      <c r="C31" s="334">
        <v>-3500000</v>
      </c>
      <c r="D31" s="335">
        <f t="shared" si="0"/>
        <v>16022824</v>
      </c>
      <c r="E31" s="336">
        <f>D31*'Cash-flow BASE'!$D$55/12</f>
        <v>146875.88666666666</v>
      </c>
      <c r="G31" s="338">
        <v>45992</v>
      </c>
      <c r="H31" s="334">
        <v>-3500000</v>
      </c>
      <c r="I31" s="335">
        <f t="shared" si="1"/>
        <v>16022824</v>
      </c>
      <c r="J31" s="336">
        <f>I31*'Cash-flow BASE'!$D$56/12</f>
        <v>146875.88666666666</v>
      </c>
      <c r="L31" s="338">
        <v>45992</v>
      </c>
      <c r="M31" s="334">
        <v>0</v>
      </c>
      <c r="N31" s="335">
        <f t="shared" si="2"/>
        <v>0</v>
      </c>
      <c r="O31" s="336">
        <f>N31*'Cash-flow BASE'!$D$57/12</f>
        <v>0</v>
      </c>
      <c r="Q31" s="338">
        <v>45992</v>
      </c>
      <c r="R31" s="334">
        <v>0</v>
      </c>
      <c r="S31" s="335">
        <f t="shared" si="3"/>
        <v>0</v>
      </c>
      <c r="T31" s="336">
        <f>S31*'Cash-flow BASE'!$D$58/12</f>
        <v>0</v>
      </c>
    </row>
    <row r="32" spans="2:20" ht="14.1">
      <c r="B32" s="333">
        <v>46023</v>
      </c>
      <c r="C32" s="334">
        <v>0</v>
      </c>
      <c r="D32" s="335">
        <f t="shared" si="0"/>
        <v>16022824</v>
      </c>
      <c r="E32" s="336">
        <f>D32*'Cash-flow BASE'!$D$55/12</f>
        <v>146875.88666666666</v>
      </c>
      <c r="G32" s="333">
        <v>46023</v>
      </c>
      <c r="H32" s="334">
        <v>0</v>
      </c>
      <c r="I32" s="335">
        <f t="shared" si="1"/>
        <v>16022824</v>
      </c>
      <c r="J32" s="336">
        <f>I32*'Cash-flow BASE'!$D$56/12</f>
        <v>146875.88666666666</v>
      </c>
      <c r="L32" s="333">
        <v>46023</v>
      </c>
      <c r="M32" s="334">
        <v>0</v>
      </c>
      <c r="N32" s="335">
        <f t="shared" si="2"/>
        <v>0</v>
      </c>
      <c r="O32" s="336">
        <f>N32*'Cash-flow BASE'!$D$57/12</f>
        <v>0</v>
      </c>
      <c r="Q32" s="333">
        <v>46023</v>
      </c>
      <c r="R32" s="334">
        <v>0</v>
      </c>
      <c r="S32" s="335">
        <f t="shared" si="3"/>
        <v>0</v>
      </c>
      <c r="T32" s="336">
        <f>S32*'Cash-flow BASE'!$D$58/12</f>
        <v>0</v>
      </c>
    </row>
    <row r="33" spans="2:20" ht="14.1">
      <c r="B33" s="338">
        <v>46054</v>
      </c>
      <c r="C33" s="334">
        <v>0</v>
      </c>
      <c r="D33" s="335">
        <f t="shared" si="0"/>
        <v>16022824</v>
      </c>
      <c r="E33" s="336">
        <f>D33*'Cash-flow BASE'!$D$55/12</f>
        <v>146875.88666666666</v>
      </c>
      <c r="G33" s="338">
        <v>46054</v>
      </c>
      <c r="H33" s="334">
        <v>0</v>
      </c>
      <c r="I33" s="335">
        <f t="shared" si="1"/>
        <v>16022824</v>
      </c>
      <c r="J33" s="336">
        <f>I33*'Cash-flow BASE'!$D$56/12</f>
        <v>146875.88666666666</v>
      </c>
      <c r="L33" s="338">
        <v>46054</v>
      </c>
      <c r="M33" s="334">
        <v>0</v>
      </c>
      <c r="N33" s="335">
        <f t="shared" si="2"/>
        <v>0</v>
      </c>
      <c r="O33" s="336">
        <f>N33*'Cash-flow BASE'!$D$57/12</f>
        <v>0</v>
      </c>
      <c r="Q33" s="338">
        <v>46054</v>
      </c>
      <c r="R33" s="334">
        <v>0</v>
      </c>
      <c r="S33" s="335">
        <f t="shared" si="3"/>
        <v>0</v>
      </c>
      <c r="T33" s="336">
        <f>S33*'Cash-flow BASE'!$D$58/12</f>
        <v>0</v>
      </c>
    </row>
    <row r="34" spans="2:20" ht="14.1">
      <c r="B34" s="338">
        <v>46082</v>
      </c>
      <c r="C34" s="334">
        <v>0</v>
      </c>
      <c r="D34" s="335">
        <f t="shared" si="0"/>
        <v>16022824</v>
      </c>
      <c r="E34" s="336">
        <f>D34*'Cash-flow BASE'!$D$55/12</f>
        <v>146875.88666666666</v>
      </c>
      <c r="G34" s="338">
        <v>46082</v>
      </c>
      <c r="H34" s="334">
        <v>0</v>
      </c>
      <c r="I34" s="335">
        <f t="shared" si="1"/>
        <v>16022824</v>
      </c>
      <c r="J34" s="336">
        <f>I34*'Cash-flow BASE'!$D$56/12</f>
        <v>146875.88666666666</v>
      </c>
      <c r="L34" s="338">
        <v>46082</v>
      </c>
      <c r="M34" s="334">
        <v>0</v>
      </c>
      <c r="N34" s="335">
        <f t="shared" si="2"/>
        <v>0</v>
      </c>
      <c r="O34" s="336">
        <f>N34*'Cash-flow BASE'!$D$57/12</f>
        <v>0</v>
      </c>
      <c r="Q34" s="338">
        <v>46082</v>
      </c>
      <c r="R34" s="334">
        <v>0</v>
      </c>
      <c r="S34" s="335">
        <f t="shared" si="3"/>
        <v>0</v>
      </c>
      <c r="T34" s="336">
        <f>S34*'Cash-flow BASE'!$D$58/12</f>
        <v>0</v>
      </c>
    </row>
    <row r="35" spans="2:20" ht="14.1">
      <c r="B35" s="338">
        <v>46113</v>
      </c>
      <c r="C35" s="334">
        <v>0</v>
      </c>
      <c r="D35" s="335">
        <f t="shared" si="0"/>
        <v>16022824</v>
      </c>
      <c r="E35" s="336">
        <f>D35*'Cash-flow BASE'!$D$55/12</f>
        <v>146875.88666666666</v>
      </c>
      <c r="G35" s="338">
        <v>46113</v>
      </c>
      <c r="H35" s="334">
        <v>0</v>
      </c>
      <c r="I35" s="335">
        <f t="shared" si="1"/>
        <v>16022824</v>
      </c>
      <c r="J35" s="336">
        <f>I35*'Cash-flow BASE'!$D$56/12</f>
        <v>146875.88666666666</v>
      </c>
      <c r="L35" s="338">
        <v>46113</v>
      </c>
      <c r="M35" s="334">
        <v>0</v>
      </c>
      <c r="N35" s="335">
        <f t="shared" si="2"/>
        <v>0</v>
      </c>
      <c r="O35" s="336">
        <f>N35*'Cash-flow BASE'!$D$57/12</f>
        <v>0</v>
      </c>
      <c r="Q35" s="338">
        <v>46113</v>
      </c>
      <c r="R35" s="334">
        <v>0</v>
      </c>
      <c r="S35" s="335">
        <f t="shared" si="3"/>
        <v>0</v>
      </c>
      <c r="T35" s="336">
        <f>S35*'Cash-flow BASE'!$D$58/12</f>
        <v>0</v>
      </c>
    </row>
    <row r="36" spans="2:20" ht="14.1">
      <c r="B36" s="338">
        <v>46143</v>
      </c>
      <c r="C36" s="334">
        <v>0</v>
      </c>
      <c r="D36" s="335">
        <f t="shared" si="0"/>
        <v>16022824</v>
      </c>
      <c r="E36" s="336">
        <f>D36*'Cash-flow BASE'!$D$55/12</f>
        <v>146875.88666666666</v>
      </c>
      <c r="G36" s="338">
        <v>46143</v>
      </c>
      <c r="H36" s="334">
        <v>0</v>
      </c>
      <c r="I36" s="335">
        <f t="shared" si="1"/>
        <v>16022824</v>
      </c>
      <c r="J36" s="336">
        <f>I36*'Cash-flow BASE'!$D$56/12</f>
        <v>146875.88666666666</v>
      </c>
      <c r="L36" s="338">
        <v>46143</v>
      </c>
      <c r="M36" s="334">
        <v>0</v>
      </c>
      <c r="N36" s="335">
        <f t="shared" si="2"/>
        <v>0</v>
      </c>
      <c r="O36" s="336">
        <f>N36*'Cash-flow BASE'!$D$57/12</f>
        <v>0</v>
      </c>
      <c r="Q36" s="338">
        <v>46143</v>
      </c>
      <c r="R36" s="334">
        <v>0</v>
      </c>
      <c r="S36" s="335">
        <f t="shared" si="3"/>
        <v>0</v>
      </c>
      <c r="T36" s="336">
        <f>S36*'Cash-flow BASE'!$D$58/12</f>
        <v>0</v>
      </c>
    </row>
    <row r="37" spans="2:20" ht="14.1">
      <c r="B37" s="339">
        <v>46174</v>
      </c>
      <c r="C37" s="334">
        <v>0</v>
      </c>
      <c r="D37" s="335">
        <f t="shared" si="0"/>
        <v>16022824</v>
      </c>
      <c r="E37" s="336">
        <f>D37*'Cash-flow BASE'!$D$55/12</f>
        <v>146875.88666666666</v>
      </c>
      <c r="G37" s="339">
        <v>46174</v>
      </c>
      <c r="H37" s="334">
        <v>0</v>
      </c>
      <c r="I37" s="335">
        <f t="shared" si="1"/>
        <v>16022824</v>
      </c>
      <c r="J37" s="336">
        <f>I37*'Cash-flow BASE'!$D$56/12</f>
        <v>146875.88666666666</v>
      </c>
      <c r="L37" s="339">
        <v>46174</v>
      </c>
      <c r="M37" s="334">
        <v>0</v>
      </c>
      <c r="N37" s="335">
        <f t="shared" si="2"/>
        <v>0</v>
      </c>
      <c r="O37" s="336">
        <f>N37*'Cash-flow BASE'!$D$57/12</f>
        <v>0</v>
      </c>
      <c r="Q37" s="339">
        <v>46174</v>
      </c>
      <c r="R37" s="334">
        <v>0</v>
      </c>
      <c r="S37" s="335">
        <f t="shared" si="3"/>
        <v>0</v>
      </c>
      <c r="T37" s="336">
        <f>S37*'Cash-flow BASE'!$D$58/12</f>
        <v>0</v>
      </c>
    </row>
    <row r="38" spans="2:20" ht="14.1">
      <c r="B38" s="338">
        <v>46204</v>
      </c>
      <c r="C38" s="334">
        <v>16022824</v>
      </c>
      <c r="D38" s="335">
        <f t="shared" si="0"/>
        <v>0</v>
      </c>
      <c r="E38" s="336">
        <f>D38*'Cash-flow BASE'!$D$55/12</f>
        <v>0</v>
      </c>
      <c r="F38" s="340">
        <f>-SUM(E12:E38)-E37</f>
        <v>-1760813.5233333337</v>
      </c>
      <c r="G38" s="338">
        <v>46204</v>
      </c>
      <c r="H38" s="334">
        <v>16022824</v>
      </c>
      <c r="I38" s="335">
        <f t="shared" si="1"/>
        <v>0</v>
      </c>
      <c r="J38" s="336">
        <f>I38*'Cash-flow BASE'!$D$56/12</f>
        <v>0</v>
      </c>
      <c r="K38" s="340">
        <f>-SUM(J15:J38)-J37</f>
        <v>-1741643.5666666669</v>
      </c>
      <c r="L38" s="338">
        <v>46204</v>
      </c>
      <c r="M38" s="334">
        <v>0</v>
      </c>
      <c r="N38" s="335">
        <f t="shared" si="2"/>
        <v>0</v>
      </c>
      <c r="O38" s="336">
        <f>N38*'Cash-flow BASE'!$D$57/12</f>
        <v>0</v>
      </c>
      <c r="Q38" s="338">
        <v>46204</v>
      </c>
      <c r="R38" s="334">
        <v>0</v>
      </c>
      <c r="S38" s="335">
        <f t="shared" si="3"/>
        <v>0</v>
      </c>
      <c r="T38" s="336">
        <f>S38*'Cash-flow BASE'!$D$58/12</f>
        <v>0</v>
      </c>
    </row>
    <row r="39" spans="2:20" ht="14.1">
      <c r="B39" s="338">
        <v>46235</v>
      </c>
      <c r="C39" s="334">
        <v>0</v>
      </c>
      <c r="D39" s="335">
        <f t="shared" si="0"/>
        <v>0</v>
      </c>
      <c r="E39" s="336">
        <f>D39*'Cash-flow BASE'!$D$55/12</f>
        <v>0</v>
      </c>
      <c r="G39" s="338">
        <v>46235</v>
      </c>
      <c r="H39" s="334">
        <v>0</v>
      </c>
      <c r="I39" s="335">
        <f t="shared" si="1"/>
        <v>0</v>
      </c>
      <c r="J39" s="336">
        <f>I39*'Cash-flow BASE'!$D$56/12</f>
        <v>0</v>
      </c>
      <c r="L39" s="338">
        <v>46235</v>
      </c>
      <c r="M39" s="334">
        <v>0</v>
      </c>
      <c r="N39" s="335">
        <f t="shared" si="2"/>
        <v>0</v>
      </c>
      <c r="O39" s="336">
        <f>N39*'Cash-flow BASE'!$D$57/12</f>
        <v>0</v>
      </c>
      <c r="Q39" s="338">
        <v>46235</v>
      </c>
      <c r="R39" s="334">
        <v>0</v>
      </c>
      <c r="S39" s="335">
        <f t="shared" si="3"/>
        <v>0</v>
      </c>
      <c r="T39" s="336">
        <f>S39*'Cash-flow BASE'!$D$58/12</f>
        <v>0</v>
      </c>
    </row>
    <row r="40" spans="2:20" ht="14.1">
      <c r="B40" s="338">
        <v>46266</v>
      </c>
      <c r="C40" s="334">
        <v>0</v>
      </c>
      <c r="D40" s="335">
        <f t="shared" si="0"/>
        <v>0</v>
      </c>
      <c r="E40" s="336">
        <f>D40*'Cash-flow BASE'!$D$55/12</f>
        <v>0</v>
      </c>
      <c r="G40" s="338">
        <v>46266</v>
      </c>
      <c r="H40" s="334">
        <v>0</v>
      </c>
      <c r="I40" s="335">
        <f t="shared" si="1"/>
        <v>0</v>
      </c>
      <c r="J40" s="336">
        <f>I40*'Cash-flow BASE'!$D$56/12</f>
        <v>0</v>
      </c>
      <c r="L40" s="338">
        <v>46266</v>
      </c>
      <c r="M40" s="334">
        <v>0</v>
      </c>
      <c r="N40" s="335">
        <f t="shared" si="2"/>
        <v>0</v>
      </c>
      <c r="O40" s="336">
        <f>N40*'Cash-flow BASE'!$D$57/12</f>
        <v>0</v>
      </c>
      <c r="Q40" s="338">
        <v>46266</v>
      </c>
      <c r="R40" s="334">
        <v>0</v>
      </c>
      <c r="S40" s="335">
        <f t="shared" si="3"/>
        <v>0</v>
      </c>
      <c r="T40" s="336">
        <f>S40*'Cash-flow BASE'!$D$58/12</f>
        <v>0</v>
      </c>
    </row>
    <row r="41" spans="2:20" ht="14.1">
      <c r="B41" s="338">
        <v>46296</v>
      </c>
      <c r="C41" s="334">
        <v>0</v>
      </c>
      <c r="D41" s="335">
        <f t="shared" si="0"/>
        <v>0</v>
      </c>
      <c r="E41" s="336">
        <f>D41*'Cash-flow BASE'!$D$55/12</f>
        <v>0</v>
      </c>
      <c r="G41" s="338">
        <v>46296</v>
      </c>
      <c r="H41" s="334">
        <v>0</v>
      </c>
      <c r="I41" s="335">
        <f t="shared" si="1"/>
        <v>0</v>
      </c>
      <c r="J41" s="336">
        <f>I41*'Cash-flow BASE'!$D$56/12</f>
        <v>0</v>
      </c>
      <c r="L41" s="338">
        <v>46296</v>
      </c>
      <c r="M41" s="334">
        <v>0</v>
      </c>
      <c r="N41" s="335">
        <f t="shared" si="2"/>
        <v>0</v>
      </c>
      <c r="O41" s="336">
        <f>N41*'Cash-flow BASE'!$D$57/12</f>
        <v>0</v>
      </c>
      <c r="Q41" s="338">
        <v>46296</v>
      </c>
      <c r="R41" s="334">
        <v>0</v>
      </c>
      <c r="S41" s="335">
        <f t="shared" si="3"/>
        <v>0</v>
      </c>
      <c r="T41" s="336">
        <f>S41*'Cash-flow BASE'!$D$58/12</f>
        <v>0</v>
      </c>
    </row>
    <row r="42" spans="2:20" ht="14.1">
      <c r="B42" s="338">
        <v>46327</v>
      </c>
      <c r="C42" s="334">
        <v>0</v>
      </c>
      <c r="D42" s="335">
        <f t="shared" si="0"/>
        <v>0</v>
      </c>
      <c r="E42" s="336">
        <f>D42*'Cash-flow BASE'!$D$55/12</f>
        <v>0</v>
      </c>
      <c r="G42" s="338">
        <v>46327</v>
      </c>
      <c r="H42" s="334">
        <v>0</v>
      </c>
      <c r="I42" s="335">
        <f t="shared" si="1"/>
        <v>0</v>
      </c>
      <c r="J42" s="336">
        <f>I42*'Cash-flow BASE'!$D$56/12</f>
        <v>0</v>
      </c>
      <c r="L42" s="338">
        <v>46327</v>
      </c>
      <c r="M42" s="334">
        <v>0</v>
      </c>
      <c r="N42" s="335">
        <f t="shared" si="2"/>
        <v>0</v>
      </c>
      <c r="O42" s="336">
        <f>N42*'Cash-flow BASE'!$D$57/12</f>
        <v>0</v>
      </c>
      <c r="Q42" s="338">
        <v>46327</v>
      </c>
      <c r="R42" s="334">
        <v>0</v>
      </c>
      <c r="S42" s="335">
        <f t="shared" si="3"/>
        <v>0</v>
      </c>
      <c r="T42" s="336">
        <f>S42*'Cash-flow BASE'!$D$58/12</f>
        <v>0</v>
      </c>
    </row>
    <row r="43" spans="2:20" ht="14.1">
      <c r="B43" s="338">
        <v>46357</v>
      </c>
      <c r="C43" s="334">
        <v>0</v>
      </c>
      <c r="D43" s="335">
        <f t="shared" si="0"/>
        <v>0</v>
      </c>
      <c r="E43" s="336">
        <f>D43*'Cash-flow BASE'!$D$55/12</f>
        <v>0</v>
      </c>
      <c r="G43" s="338">
        <v>46357</v>
      </c>
      <c r="H43" s="334">
        <v>0</v>
      </c>
      <c r="I43" s="335">
        <f t="shared" si="1"/>
        <v>0</v>
      </c>
      <c r="J43" s="336">
        <f>I43*'Cash-flow BASE'!$D$56/12</f>
        <v>0</v>
      </c>
      <c r="L43" s="338">
        <v>46357</v>
      </c>
      <c r="M43" s="334">
        <v>0</v>
      </c>
      <c r="N43" s="335">
        <f t="shared" si="2"/>
        <v>0</v>
      </c>
      <c r="O43" s="336">
        <f>N43*'Cash-flow BASE'!$D$57/12</f>
        <v>0</v>
      </c>
      <c r="Q43" s="338">
        <v>46357</v>
      </c>
      <c r="R43" s="334">
        <v>0</v>
      </c>
      <c r="S43" s="335">
        <f t="shared" si="3"/>
        <v>0</v>
      </c>
      <c r="T43" s="336">
        <f>S43*'Cash-flow BASE'!$D$58/12</f>
        <v>0</v>
      </c>
    </row>
    <row r="44" spans="2:20" ht="14.1">
      <c r="B44" s="333">
        <v>46388</v>
      </c>
      <c r="C44" s="334">
        <v>0</v>
      </c>
      <c r="D44" s="335">
        <f t="shared" si="0"/>
        <v>0</v>
      </c>
      <c r="E44" s="336">
        <f>D44*'Cash-flow BASE'!$D$55/12</f>
        <v>0</v>
      </c>
      <c r="G44" s="333">
        <v>46388</v>
      </c>
      <c r="H44" s="334">
        <v>0</v>
      </c>
      <c r="I44" s="335">
        <f t="shared" si="1"/>
        <v>0</v>
      </c>
      <c r="J44" s="336">
        <f>I44*'Cash-flow BASE'!$D$56/12</f>
        <v>0</v>
      </c>
      <c r="L44" s="333">
        <v>46388</v>
      </c>
      <c r="M44" s="334">
        <v>0</v>
      </c>
      <c r="N44" s="335">
        <f t="shared" si="2"/>
        <v>0</v>
      </c>
      <c r="O44" s="336">
        <f>N44*'Cash-flow BASE'!$D$57/12</f>
        <v>0</v>
      </c>
      <c r="Q44" s="333">
        <v>46388</v>
      </c>
      <c r="R44" s="334">
        <v>0</v>
      </c>
      <c r="S44" s="335">
        <f t="shared" si="3"/>
        <v>0</v>
      </c>
      <c r="T44" s="336">
        <f>S44*'Cash-flow BASE'!$D$58/12</f>
        <v>0</v>
      </c>
    </row>
    <row r="45" spans="2:20" ht="14.1">
      <c r="B45" s="338">
        <v>46419</v>
      </c>
      <c r="C45" s="334">
        <v>0</v>
      </c>
      <c r="D45" s="335">
        <f t="shared" si="0"/>
        <v>0</v>
      </c>
      <c r="E45" s="336">
        <f>D45*'Cash-flow BASE'!$D$55/12</f>
        <v>0</v>
      </c>
      <c r="G45" s="338">
        <v>46419</v>
      </c>
      <c r="H45" s="334">
        <v>0</v>
      </c>
      <c r="I45" s="335">
        <f t="shared" si="1"/>
        <v>0</v>
      </c>
      <c r="J45" s="336">
        <f>I45*'Cash-flow BASE'!$D$56/12</f>
        <v>0</v>
      </c>
      <c r="L45" s="338">
        <v>46419</v>
      </c>
      <c r="M45" s="334">
        <v>0</v>
      </c>
      <c r="N45" s="335">
        <f t="shared" si="2"/>
        <v>0</v>
      </c>
      <c r="O45" s="336">
        <f>N45*'Cash-flow BASE'!$D$57/12</f>
        <v>0</v>
      </c>
      <c r="Q45" s="338">
        <v>46419</v>
      </c>
      <c r="R45" s="334">
        <v>0</v>
      </c>
      <c r="S45" s="335">
        <f t="shared" si="3"/>
        <v>0</v>
      </c>
      <c r="T45" s="336">
        <f>S45*'Cash-flow BASE'!$D$58/12</f>
        <v>0</v>
      </c>
    </row>
    <row r="46" spans="2:20" ht="14.1">
      <c r="B46" s="338">
        <v>46447</v>
      </c>
      <c r="C46" s="334">
        <v>0</v>
      </c>
      <c r="D46" s="335">
        <f t="shared" si="0"/>
        <v>0</v>
      </c>
      <c r="E46" s="336">
        <f>D46*'Cash-flow BASE'!$D$55/12</f>
        <v>0</v>
      </c>
      <c r="G46" s="338">
        <v>46447</v>
      </c>
      <c r="H46" s="334">
        <v>0</v>
      </c>
      <c r="I46" s="335">
        <f t="shared" si="1"/>
        <v>0</v>
      </c>
      <c r="J46" s="336">
        <f>I46*'Cash-flow BASE'!$D$56/12</f>
        <v>0</v>
      </c>
      <c r="L46" s="338">
        <v>46447</v>
      </c>
      <c r="M46" s="334">
        <v>0</v>
      </c>
      <c r="N46" s="335">
        <f t="shared" si="2"/>
        <v>0</v>
      </c>
      <c r="O46" s="336">
        <f>N46*'Cash-flow BASE'!$D$57/12</f>
        <v>0</v>
      </c>
      <c r="Q46" s="338">
        <v>46447</v>
      </c>
      <c r="R46" s="334">
        <v>0</v>
      </c>
      <c r="S46" s="335">
        <f t="shared" si="3"/>
        <v>0</v>
      </c>
      <c r="T46" s="336">
        <f>S46*'Cash-flow BASE'!$D$58/12</f>
        <v>0</v>
      </c>
    </row>
    <row r="47" spans="2:20" ht="14.1">
      <c r="B47" s="338">
        <v>46478</v>
      </c>
      <c r="C47" s="334">
        <v>0</v>
      </c>
      <c r="D47" s="335">
        <f t="shared" si="0"/>
        <v>0</v>
      </c>
      <c r="E47" s="336">
        <f>D47*'Cash-flow BASE'!$D$55/12</f>
        <v>0</v>
      </c>
      <c r="G47" s="338">
        <v>46478</v>
      </c>
      <c r="H47" s="334">
        <v>0</v>
      </c>
      <c r="I47" s="335">
        <f t="shared" si="1"/>
        <v>0</v>
      </c>
      <c r="J47" s="336">
        <f>I47*'Cash-flow BASE'!$D$56/12</f>
        <v>0</v>
      </c>
      <c r="L47" s="338">
        <v>46478</v>
      </c>
      <c r="M47" s="334">
        <v>0</v>
      </c>
      <c r="N47" s="335">
        <f t="shared" si="2"/>
        <v>0</v>
      </c>
      <c r="O47" s="336">
        <f>N47*'Cash-flow BASE'!$D$57/12</f>
        <v>0</v>
      </c>
      <c r="Q47" s="338">
        <v>46478</v>
      </c>
      <c r="R47" s="334">
        <v>0</v>
      </c>
      <c r="S47" s="335">
        <f t="shared" si="3"/>
        <v>0</v>
      </c>
      <c r="T47" s="336">
        <f>S47*'Cash-flow BASE'!$D$58/12</f>
        <v>0</v>
      </c>
    </row>
    <row r="48" spans="2:20" ht="14.1">
      <c r="B48" s="338">
        <v>46508</v>
      </c>
      <c r="C48" s="334">
        <v>0</v>
      </c>
      <c r="D48" s="335">
        <f t="shared" si="0"/>
        <v>0</v>
      </c>
      <c r="E48" s="336">
        <f>D48*'Cash-flow BASE'!$D$55/12</f>
        <v>0</v>
      </c>
      <c r="G48" s="338">
        <v>46508</v>
      </c>
      <c r="H48" s="334">
        <v>0</v>
      </c>
      <c r="I48" s="335">
        <f t="shared" si="1"/>
        <v>0</v>
      </c>
      <c r="J48" s="336">
        <f>I48*'Cash-flow BASE'!$D$56/12</f>
        <v>0</v>
      </c>
      <c r="L48" s="338">
        <v>46508</v>
      </c>
      <c r="M48" s="334">
        <v>0</v>
      </c>
      <c r="N48" s="335">
        <f t="shared" si="2"/>
        <v>0</v>
      </c>
      <c r="O48" s="336">
        <f>N48*'Cash-flow BASE'!$D$57/12</f>
        <v>0</v>
      </c>
      <c r="Q48" s="338">
        <v>46508</v>
      </c>
      <c r="R48" s="334">
        <v>0</v>
      </c>
      <c r="S48" s="335">
        <f t="shared" si="3"/>
        <v>0</v>
      </c>
      <c r="T48" s="336">
        <f>S48*'Cash-flow BASE'!$D$58/12</f>
        <v>0</v>
      </c>
    </row>
    <row r="49" spans="2:20" ht="14.1">
      <c r="B49" s="339">
        <v>46539</v>
      </c>
      <c r="C49" s="334">
        <v>0</v>
      </c>
      <c r="D49" s="335">
        <f t="shared" si="0"/>
        <v>0</v>
      </c>
      <c r="E49" s="336">
        <f>D49*'Cash-flow BASE'!$D$55/12</f>
        <v>0</v>
      </c>
      <c r="G49" s="339">
        <v>46539</v>
      </c>
      <c r="H49" s="334">
        <v>0</v>
      </c>
      <c r="I49" s="335">
        <f t="shared" si="1"/>
        <v>0</v>
      </c>
      <c r="J49" s="336">
        <f>I49*'Cash-flow BASE'!$D$56/12</f>
        <v>0</v>
      </c>
      <c r="L49" s="339">
        <v>46539</v>
      </c>
      <c r="M49" s="334">
        <v>0</v>
      </c>
      <c r="N49" s="335">
        <f t="shared" si="2"/>
        <v>0</v>
      </c>
      <c r="O49" s="336">
        <f>N49*'Cash-flow BASE'!$D$57/12</f>
        <v>0</v>
      </c>
      <c r="Q49" s="339">
        <v>46539</v>
      </c>
      <c r="R49" s="334">
        <v>0</v>
      </c>
      <c r="S49" s="335">
        <f t="shared" si="3"/>
        <v>0</v>
      </c>
      <c r="T49" s="336">
        <f>S49*'Cash-flow BASE'!$D$58/12</f>
        <v>0</v>
      </c>
    </row>
    <row r="50" spans="2:20" ht="14.1">
      <c r="B50" s="338">
        <v>46569</v>
      </c>
      <c r="C50" s="334">
        <v>0</v>
      </c>
      <c r="D50" s="335">
        <f t="shared" si="0"/>
        <v>0</v>
      </c>
      <c r="E50" s="336">
        <f>D50*'Cash-flow BASE'!$D$55/12</f>
        <v>0</v>
      </c>
      <c r="G50" s="338">
        <v>46569</v>
      </c>
      <c r="H50" s="334">
        <v>0</v>
      </c>
      <c r="I50" s="335">
        <f t="shared" si="1"/>
        <v>0</v>
      </c>
      <c r="J50" s="336">
        <f>I50*'Cash-flow BASE'!$D$56/12</f>
        <v>0</v>
      </c>
      <c r="L50" s="338">
        <v>46569</v>
      </c>
      <c r="M50" s="334">
        <v>0</v>
      </c>
      <c r="N50" s="335">
        <f t="shared" si="2"/>
        <v>0</v>
      </c>
      <c r="O50" s="336">
        <f>N50*'Cash-flow BASE'!$D$57/12</f>
        <v>0</v>
      </c>
      <c r="Q50" s="338">
        <v>46569</v>
      </c>
      <c r="R50" s="334">
        <v>0</v>
      </c>
      <c r="S50" s="335">
        <f t="shared" si="3"/>
        <v>0</v>
      </c>
      <c r="T50" s="336">
        <f>S50*'Cash-flow BASE'!$D$58/12</f>
        <v>0</v>
      </c>
    </row>
    <row r="51" spans="2:20" ht="14.1">
      <c r="B51" s="338">
        <v>46600</v>
      </c>
      <c r="C51" s="334">
        <v>0</v>
      </c>
      <c r="D51" s="335">
        <f t="shared" si="0"/>
        <v>0</v>
      </c>
      <c r="E51" s="336">
        <f>D51*'Cash-flow BASE'!$D$55/12</f>
        <v>0</v>
      </c>
      <c r="G51" s="338">
        <v>46600</v>
      </c>
      <c r="H51" s="334">
        <v>0</v>
      </c>
      <c r="I51" s="335">
        <f t="shared" si="1"/>
        <v>0</v>
      </c>
      <c r="J51" s="336">
        <f>I51*'Cash-flow BASE'!$D$56/12</f>
        <v>0</v>
      </c>
      <c r="L51" s="338">
        <v>46600</v>
      </c>
      <c r="M51" s="334">
        <v>0</v>
      </c>
      <c r="N51" s="335">
        <f t="shared" si="2"/>
        <v>0</v>
      </c>
      <c r="O51" s="336">
        <f>N51*'Cash-flow BASE'!$D$57/12</f>
        <v>0</v>
      </c>
      <c r="Q51" s="338">
        <v>46600</v>
      </c>
      <c r="R51" s="334">
        <v>0</v>
      </c>
      <c r="S51" s="335">
        <f t="shared" si="3"/>
        <v>0</v>
      </c>
      <c r="T51" s="336">
        <f>S51*'Cash-flow BASE'!$D$58/12</f>
        <v>0</v>
      </c>
    </row>
    <row r="52" spans="2:20" ht="14.1">
      <c r="B52" s="338">
        <v>46631</v>
      </c>
      <c r="C52" s="334">
        <v>0</v>
      </c>
      <c r="D52" s="335">
        <f t="shared" si="0"/>
        <v>0</v>
      </c>
      <c r="E52" s="336">
        <f>D52*'Cash-flow BASE'!$D$55/12</f>
        <v>0</v>
      </c>
      <c r="G52" s="338">
        <v>46631</v>
      </c>
      <c r="H52" s="334">
        <v>0</v>
      </c>
      <c r="I52" s="335">
        <f t="shared" si="1"/>
        <v>0</v>
      </c>
      <c r="J52" s="336">
        <f>I52*'Cash-flow BASE'!$D$56/12</f>
        <v>0</v>
      </c>
      <c r="L52" s="338">
        <v>46631</v>
      </c>
      <c r="M52" s="334">
        <v>0</v>
      </c>
      <c r="N52" s="335">
        <f t="shared" si="2"/>
        <v>0</v>
      </c>
      <c r="O52" s="336">
        <f>N52*'Cash-flow BASE'!$D$57/12</f>
        <v>0</v>
      </c>
      <c r="Q52" s="338">
        <v>46631</v>
      </c>
      <c r="R52" s="334">
        <v>0</v>
      </c>
      <c r="S52" s="335">
        <f t="shared" si="3"/>
        <v>0</v>
      </c>
      <c r="T52" s="336">
        <f>S52*'Cash-flow BASE'!$D$58/12</f>
        <v>0</v>
      </c>
    </row>
    <row r="53" spans="2:20" ht="14.1">
      <c r="B53" s="338">
        <v>46661</v>
      </c>
      <c r="C53" s="334">
        <v>0</v>
      </c>
      <c r="D53" s="335">
        <f t="shared" si="0"/>
        <v>0</v>
      </c>
      <c r="E53" s="336">
        <f>D53*'Cash-flow BASE'!$D$55/12</f>
        <v>0</v>
      </c>
      <c r="G53" s="338">
        <v>46661</v>
      </c>
      <c r="H53" s="334">
        <v>0</v>
      </c>
      <c r="I53" s="335">
        <f t="shared" si="1"/>
        <v>0</v>
      </c>
      <c r="J53" s="336">
        <f>I53*'Cash-flow BASE'!$D$56/12</f>
        <v>0</v>
      </c>
      <c r="L53" s="338">
        <v>46661</v>
      </c>
      <c r="M53" s="334">
        <v>0</v>
      </c>
      <c r="N53" s="335">
        <f t="shared" si="2"/>
        <v>0</v>
      </c>
      <c r="O53" s="336">
        <f>N53*'Cash-flow BASE'!$D$57/12</f>
        <v>0</v>
      </c>
      <c r="Q53" s="338">
        <v>46661</v>
      </c>
      <c r="R53" s="334">
        <v>0</v>
      </c>
      <c r="S53" s="335">
        <f t="shared" si="3"/>
        <v>0</v>
      </c>
      <c r="T53" s="336">
        <f>S53*'Cash-flow BASE'!$D$58/12</f>
        <v>0</v>
      </c>
    </row>
    <row r="54" spans="2:20" ht="14.1">
      <c r="B54" s="338">
        <v>46692</v>
      </c>
      <c r="C54" s="334">
        <v>0</v>
      </c>
      <c r="D54" s="335">
        <f t="shared" si="0"/>
        <v>0</v>
      </c>
      <c r="E54" s="336">
        <f>D54*'Cash-flow BASE'!$D$55/12</f>
        <v>0</v>
      </c>
      <c r="G54" s="338">
        <v>46692</v>
      </c>
      <c r="H54" s="334">
        <v>0</v>
      </c>
      <c r="I54" s="335">
        <f t="shared" si="1"/>
        <v>0</v>
      </c>
      <c r="J54" s="336">
        <f>I54*'Cash-flow BASE'!$D$56/12</f>
        <v>0</v>
      </c>
      <c r="L54" s="338">
        <v>46692</v>
      </c>
      <c r="M54" s="334">
        <v>0</v>
      </c>
      <c r="N54" s="335">
        <f t="shared" si="2"/>
        <v>0</v>
      </c>
      <c r="O54" s="336">
        <f>N54*'Cash-flow BASE'!$D$57/12</f>
        <v>0</v>
      </c>
      <c r="Q54" s="338">
        <v>46692</v>
      </c>
      <c r="R54" s="334">
        <v>0</v>
      </c>
      <c r="S54" s="335">
        <f t="shared" si="3"/>
        <v>0</v>
      </c>
      <c r="T54" s="336">
        <f>S54*'Cash-flow BASE'!$D$58/12</f>
        <v>0</v>
      </c>
    </row>
    <row r="55" spans="2:20" ht="14.1">
      <c r="B55" s="338">
        <v>46722</v>
      </c>
      <c r="C55" s="334">
        <v>0</v>
      </c>
      <c r="D55" s="335">
        <f t="shared" si="0"/>
        <v>0</v>
      </c>
      <c r="E55" s="336">
        <f>D55*'Cash-flow BASE'!$D$55/12</f>
        <v>0</v>
      </c>
      <c r="G55" s="338">
        <v>46722</v>
      </c>
      <c r="H55" s="334">
        <v>0</v>
      </c>
      <c r="I55" s="335">
        <f t="shared" si="1"/>
        <v>0</v>
      </c>
      <c r="J55" s="336">
        <f>I55*'Cash-flow BASE'!$D$56/12</f>
        <v>0</v>
      </c>
      <c r="L55" s="338">
        <v>46722</v>
      </c>
      <c r="M55" s="334">
        <v>0</v>
      </c>
      <c r="N55" s="335">
        <f t="shared" si="2"/>
        <v>0</v>
      </c>
      <c r="O55" s="336">
        <f>N55*'Cash-flow BASE'!$D$57/12</f>
        <v>0</v>
      </c>
      <c r="Q55" s="338">
        <v>46722</v>
      </c>
      <c r="R55" s="334">
        <v>0</v>
      </c>
      <c r="S55" s="335">
        <f t="shared" si="3"/>
        <v>0</v>
      </c>
      <c r="T55" s="336">
        <f>S55*'Cash-flow BASE'!$D$58/12</f>
        <v>0</v>
      </c>
    </row>
    <row r="56" spans="2:20" ht="14.1">
      <c r="B56" s="333">
        <v>46753</v>
      </c>
      <c r="C56" s="334">
        <v>0</v>
      </c>
      <c r="D56" s="335">
        <f t="shared" si="0"/>
        <v>0</v>
      </c>
      <c r="E56" s="336">
        <f>D56*'Cash-flow BASE'!$D$55/12</f>
        <v>0</v>
      </c>
      <c r="G56" s="333">
        <v>46753</v>
      </c>
      <c r="H56" s="334">
        <v>0</v>
      </c>
      <c r="I56" s="335">
        <f t="shared" si="1"/>
        <v>0</v>
      </c>
      <c r="J56" s="336">
        <f>I56*'Cash-flow BASE'!$D$56/12</f>
        <v>0</v>
      </c>
      <c r="L56" s="333">
        <v>46753</v>
      </c>
      <c r="M56" s="334">
        <v>0</v>
      </c>
      <c r="N56" s="335">
        <f t="shared" si="2"/>
        <v>0</v>
      </c>
      <c r="O56" s="336">
        <f>N56*'Cash-flow BASE'!$D$57/12</f>
        <v>0</v>
      </c>
      <c r="Q56" s="333">
        <v>46753</v>
      </c>
      <c r="R56" s="334">
        <v>0</v>
      </c>
      <c r="S56" s="335">
        <f t="shared" si="3"/>
        <v>0</v>
      </c>
      <c r="T56" s="336">
        <f>S56*'Cash-flow BASE'!$D$58/12</f>
        <v>0</v>
      </c>
    </row>
    <row r="57" spans="2:20" ht="14.1">
      <c r="B57" s="338">
        <v>46784</v>
      </c>
      <c r="C57" s="334">
        <v>0</v>
      </c>
      <c r="D57" s="335">
        <f t="shared" si="0"/>
        <v>0</v>
      </c>
      <c r="E57" s="336">
        <f>D57*'Cash-flow BASE'!$D$55/12</f>
        <v>0</v>
      </c>
      <c r="G57" s="338">
        <v>46784</v>
      </c>
      <c r="H57" s="334">
        <v>0</v>
      </c>
      <c r="I57" s="335">
        <f t="shared" si="1"/>
        <v>0</v>
      </c>
      <c r="J57" s="336">
        <f>I57*'Cash-flow BASE'!$D$56/12</f>
        <v>0</v>
      </c>
      <c r="L57" s="338">
        <v>46784</v>
      </c>
      <c r="M57" s="334">
        <v>0</v>
      </c>
      <c r="N57" s="335">
        <f t="shared" si="2"/>
        <v>0</v>
      </c>
      <c r="O57" s="336">
        <f>N57*'Cash-flow BASE'!$D$57/12</f>
        <v>0</v>
      </c>
      <c r="Q57" s="338">
        <v>46784</v>
      </c>
      <c r="R57" s="334">
        <v>0</v>
      </c>
      <c r="S57" s="335">
        <f t="shared" si="3"/>
        <v>0</v>
      </c>
      <c r="T57" s="336">
        <f>S57*'Cash-flow BASE'!$D$58/12</f>
        <v>0</v>
      </c>
    </row>
    <row r="58" spans="2:20" ht="14.1">
      <c r="B58" s="338">
        <v>46813</v>
      </c>
      <c r="C58" s="334">
        <v>0</v>
      </c>
      <c r="D58" s="335">
        <f t="shared" si="0"/>
        <v>0</v>
      </c>
      <c r="E58" s="336">
        <f>D58*'Cash-flow BASE'!$D$55/12</f>
        <v>0</v>
      </c>
      <c r="G58" s="338">
        <v>46813</v>
      </c>
      <c r="H58" s="334">
        <v>0</v>
      </c>
      <c r="I58" s="335">
        <f t="shared" si="1"/>
        <v>0</v>
      </c>
      <c r="J58" s="336">
        <f>I58*'Cash-flow BASE'!$D$56/12</f>
        <v>0</v>
      </c>
      <c r="L58" s="338">
        <v>46813</v>
      </c>
      <c r="M58" s="334">
        <v>0</v>
      </c>
      <c r="N58" s="335">
        <f t="shared" si="2"/>
        <v>0</v>
      </c>
      <c r="O58" s="336">
        <f>N58*'Cash-flow BASE'!$D$57/12</f>
        <v>0</v>
      </c>
      <c r="Q58" s="338">
        <v>46813</v>
      </c>
      <c r="R58" s="334">
        <v>0</v>
      </c>
      <c r="S58" s="335">
        <f t="shared" si="3"/>
        <v>0</v>
      </c>
      <c r="T58" s="336">
        <f>S58*'Cash-flow BASE'!$D$58/12</f>
        <v>0</v>
      </c>
    </row>
    <row r="59" spans="2:20" ht="14.1">
      <c r="B59" s="338">
        <v>46844</v>
      </c>
      <c r="C59" s="334">
        <v>0</v>
      </c>
      <c r="D59" s="335">
        <f t="shared" si="0"/>
        <v>0</v>
      </c>
      <c r="E59" s="336">
        <f>D59*'Cash-flow BASE'!$D$55/12</f>
        <v>0</v>
      </c>
      <c r="G59" s="338">
        <v>46844</v>
      </c>
      <c r="H59" s="334">
        <v>0</v>
      </c>
      <c r="I59" s="335">
        <f t="shared" si="1"/>
        <v>0</v>
      </c>
      <c r="J59" s="336">
        <f>I59*'Cash-flow BASE'!$D$56/12</f>
        <v>0</v>
      </c>
      <c r="L59" s="338">
        <v>46844</v>
      </c>
      <c r="M59" s="334">
        <v>0</v>
      </c>
      <c r="N59" s="335">
        <f t="shared" si="2"/>
        <v>0</v>
      </c>
      <c r="O59" s="336">
        <f>N59*'Cash-flow BASE'!$D$57/12</f>
        <v>0</v>
      </c>
      <c r="Q59" s="338">
        <v>46844</v>
      </c>
      <c r="R59" s="334">
        <v>0</v>
      </c>
      <c r="S59" s="335">
        <f t="shared" si="3"/>
        <v>0</v>
      </c>
      <c r="T59" s="336">
        <f>S59*'Cash-flow BASE'!$D$58/12</f>
        <v>0</v>
      </c>
    </row>
    <row r="60" spans="2:20" ht="14.1">
      <c r="B60" s="338">
        <v>46874</v>
      </c>
      <c r="C60" s="334">
        <v>0</v>
      </c>
      <c r="D60" s="335">
        <f t="shared" si="0"/>
        <v>0</v>
      </c>
      <c r="E60" s="336">
        <f>D60*'Cash-flow BASE'!$D$55/12</f>
        <v>0</v>
      </c>
      <c r="G60" s="338">
        <v>46874</v>
      </c>
      <c r="H60" s="334">
        <v>0</v>
      </c>
      <c r="I60" s="335">
        <f t="shared" si="1"/>
        <v>0</v>
      </c>
      <c r="J60" s="336">
        <f>I60*'Cash-flow BASE'!$D$56/12</f>
        <v>0</v>
      </c>
      <c r="L60" s="338">
        <v>46874</v>
      </c>
      <c r="M60" s="334">
        <v>0</v>
      </c>
      <c r="N60" s="335">
        <f t="shared" si="2"/>
        <v>0</v>
      </c>
      <c r="O60" s="336">
        <f>N60*'Cash-flow BASE'!$D$57/12</f>
        <v>0</v>
      </c>
      <c r="Q60" s="338">
        <v>46874</v>
      </c>
      <c r="R60" s="334">
        <v>0</v>
      </c>
      <c r="S60" s="335">
        <f t="shared" si="3"/>
        <v>0</v>
      </c>
      <c r="T60" s="336">
        <f>S60*'Cash-flow BASE'!$D$58/12</f>
        <v>0</v>
      </c>
    </row>
    <row r="61" spans="2:20" ht="14.1">
      <c r="B61" s="339">
        <v>46905</v>
      </c>
      <c r="C61" s="334">
        <v>0</v>
      </c>
      <c r="D61" s="335">
        <f t="shared" si="0"/>
        <v>0</v>
      </c>
      <c r="E61" s="336">
        <f>D61*'Cash-flow BASE'!$D$55/12</f>
        <v>0</v>
      </c>
      <c r="G61" s="339">
        <v>46905</v>
      </c>
      <c r="H61" s="334">
        <v>0</v>
      </c>
      <c r="I61" s="335">
        <f t="shared" si="1"/>
        <v>0</v>
      </c>
      <c r="J61" s="336">
        <f>I61*'Cash-flow BASE'!$D$56/12</f>
        <v>0</v>
      </c>
      <c r="L61" s="339">
        <v>46905</v>
      </c>
      <c r="M61" s="334">
        <v>0</v>
      </c>
      <c r="N61" s="335">
        <f t="shared" si="2"/>
        <v>0</v>
      </c>
      <c r="O61" s="336">
        <f>N61*'Cash-flow BASE'!$D$57/12</f>
        <v>0</v>
      </c>
      <c r="Q61" s="339">
        <v>46905</v>
      </c>
      <c r="R61" s="334">
        <v>0</v>
      </c>
      <c r="S61" s="335">
        <f t="shared" si="3"/>
        <v>0</v>
      </c>
      <c r="T61" s="336">
        <f>S61*'Cash-flow BASE'!$D$58/12</f>
        <v>0</v>
      </c>
    </row>
    <row r="62" spans="2:20" ht="14.1">
      <c r="B62" s="338">
        <v>46935</v>
      </c>
      <c r="C62" s="334">
        <v>0</v>
      </c>
      <c r="D62" s="335">
        <f t="shared" si="0"/>
        <v>0</v>
      </c>
      <c r="E62" s="336">
        <f>D62*'Cash-flow BASE'!$D$55/12</f>
        <v>0</v>
      </c>
      <c r="G62" s="338">
        <v>46935</v>
      </c>
      <c r="H62" s="334">
        <v>0</v>
      </c>
      <c r="I62" s="335">
        <f t="shared" si="1"/>
        <v>0</v>
      </c>
      <c r="J62" s="336">
        <f>I62*'Cash-flow BASE'!$D$56/12</f>
        <v>0</v>
      </c>
      <c r="L62" s="338">
        <v>46935</v>
      </c>
      <c r="M62" s="334">
        <v>0</v>
      </c>
      <c r="N62" s="335">
        <f t="shared" si="2"/>
        <v>0</v>
      </c>
      <c r="O62" s="336">
        <f>N62*'Cash-flow BASE'!$D$57/12</f>
        <v>0</v>
      </c>
      <c r="Q62" s="338">
        <v>46935</v>
      </c>
      <c r="R62" s="334">
        <v>0</v>
      </c>
      <c r="S62" s="335">
        <f t="shared" si="3"/>
        <v>0</v>
      </c>
      <c r="T62" s="336">
        <f>S62*'Cash-flow BASE'!$D$58/12</f>
        <v>0</v>
      </c>
    </row>
    <row r="63" spans="2:20" ht="14.1">
      <c r="B63" s="338">
        <v>46966</v>
      </c>
      <c r="C63" s="334">
        <v>0</v>
      </c>
      <c r="D63" s="335">
        <f t="shared" si="0"/>
        <v>0</v>
      </c>
      <c r="E63" s="336">
        <f>D63*'Cash-flow BASE'!$D$55/12</f>
        <v>0</v>
      </c>
      <c r="G63" s="338">
        <v>46966</v>
      </c>
      <c r="H63" s="334">
        <v>0</v>
      </c>
      <c r="I63" s="335">
        <f t="shared" si="1"/>
        <v>0</v>
      </c>
      <c r="J63" s="336">
        <f>I63*'Cash-flow BASE'!$D$56/12</f>
        <v>0</v>
      </c>
      <c r="L63" s="338">
        <v>46966</v>
      </c>
      <c r="M63" s="334">
        <v>0</v>
      </c>
      <c r="N63" s="335">
        <f t="shared" si="2"/>
        <v>0</v>
      </c>
      <c r="O63" s="336">
        <f>N63*'Cash-flow BASE'!$D$57/12</f>
        <v>0</v>
      </c>
      <c r="Q63" s="338">
        <v>46966</v>
      </c>
      <c r="R63" s="334">
        <v>0</v>
      </c>
      <c r="S63" s="335">
        <f t="shared" si="3"/>
        <v>0</v>
      </c>
      <c r="T63" s="336">
        <f>S63*'Cash-flow BASE'!$D$58/12</f>
        <v>0</v>
      </c>
    </row>
    <row r="64" spans="2:20" ht="14.1">
      <c r="B64" s="338">
        <v>46997</v>
      </c>
      <c r="C64" s="334">
        <v>0</v>
      </c>
      <c r="D64" s="335">
        <f t="shared" si="0"/>
        <v>0</v>
      </c>
      <c r="E64" s="336">
        <f>D64*'Cash-flow BASE'!$D$55/12</f>
        <v>0</v>
      </c>
      <c r="G64" s="338">
        <v>46997</v>
      </c>
      <c r="H64" s="334">
        <v>0</v>
      </c>
      <c r="I64" s="335">
        <f t="shared" si="1"/>
        <v>0</v>
      </c>
      <c r="J64" s="336">
        <f>I64*'Cash-flow BASE'!$D$56/12</f>
        <v>0</v>
      </c>
      <c r="L64" s="338">
        <v>46997</v>
      </c>
      <c r="M64" s="334">
        <v>0</v>
      </c>
      <c r="N64" s="335">
        <f t="shared" si="2"/>
        <v>0</v>
      </c>
      <c r="O64" s="336">
        <f>N64*'Cash-flow BASE'!$D$57/12</f>
        <v>0</v>
      </c>
      <c r="Q64" s="338">
        <v>46997</v>
      </c>
      <c r="R64" s="334">
        <v>0</v>
      </c>
      <c r="S64" s="335">
        <f t="shared" si="3"/>
        <v>0</v>
      </c>
      <c r="T64" s="336">
        <f>S64*'Cash-flow BASE'!$D$58/12</f>
        <v>0</v>
      </c>
    </row>
    <row r="65" spans="2:20" ht="14.1">
      <c r="B65" s="338">
        <v>47027</v>
      </c>
      <c r="C65" s="334">
        <v>0</v>
      </c>
      <c r="D65" s="335">
        <f t="shared" si="0"/>
        <v>0</v>
      </c>
      <c r="E65" s="336">
        <f>D65*'Cash-flow BASE'!$D$55/12</f>
        <v>0</v>
      </c>
      <c r="G65" s="338">
        <v>47027</v>
      </c>
      <c r="H65" s="334">
        <v>0</v>
      </c>
      <c r="I65" s="335">
        <f t="shared" si="1"/>
        <v>0</v>
      </c>
      <c r="J65" s="336">
        <f>I65*'Cash-flow BASE'!$D$56/12</f>
        <v>0</v>
      </c>
      <c r="L65" s="338">
        <v>47027</v>
      </c>
      <c r="M65" s="334">
        <v>0</v>
      </c>
      <c r="N65" s="335">
        <f t="shared" si="2"/>
        <v>0</v>
      </c>
      <c r="O65" s="336">
        <f>N65*'Cash-flow BASE'!$D$57/12</f>
        <v>0</v>
      </c>
      <c r="Q65" s="338">
        <v>47027</v>
      </c>
      <c r="R65" s="334">
        <v>0</v>
      </c>
      <c r="S65" s="335">
        <f t="shared" si="3"/>
        <v>0</v>
      </c>
      <c r="T65" s="336">
        <f>S65*'Cash-flow BASE'!$D$58/12</f>
        <v>0</v>
      </c>
    </row>
    <row r="66" spans="2:20" ht="14.1">
      <c r="B66" s="338">
        <v>47058</v>
      </c>
      <c r="C66" s="334">
        <v>0</v>
      </c>
      <c r="D66" s="335">
        <f t="shared" si="0"/>
        <v>0</v>
      </c>
      <c r="E66" s="336">
        <f>D66*'Cash-flow BASE'!$D$55/12</f>
        <v>0</v>
      </c>
      <c r="G66" s="338">
        <v>47058</v>
      </c>
      <c r="H66" s="334">
        <v>0</v>
      </c>
      <c r="I66" s="335">
        <f t="shared" si="1"/>
        <v>0</v>
      </c>
      <c r="J66" s="336">
        <f>I66*'Cash-flow BASE'!$D$56/12</f>
        <v>0</v>
      </c>
      <c r="L66" s="338">
        <v>47058</v>
      </c>
      <c r="M66" s="334">
        <v>0</v>
      </c>
      <c r="N66" s="335">
        <f t="shared" si="2"/>
        <v>0</v>
      </c>
      <c r="O66" s="336">
        <f>N66*'Cash-flow BASE'!$D$57/12</f>
        <v>0</v>
      </c>
      <c r="Q66" s="338">
        <v>47058</v>
      </c>
      <c r="R66" s="334">
        <v>0</v>
      </c>
      <c r="S66" s="335">
        <f t="shared" si="3"/>
        <v>0</v>
      </c>
      <c r="T66" s="336">
        <f>S66*'Cash-flow BASE'!$D$58/12</f>
        <v>0</v>
      </c>
    </row>
    <row r="67" spans="2:20" ht="14.1">
      <c r="B67" s="338">
        <v>47088</v>
      </c>
      <c r="C67" s="334">
        <v>0</v>
      </c>
      <c r="D67" s="335">
        <f t="shared" si="0"/>
        <v>0</v>
      </c>
      <c r="E67" s="336">
        <f>D67*'Cash-flow BASE'!$D$55/12</f>
        <v>0</v>
      </c>
      <c r="G67" s="338">
        <v>47088</v>
      </c>
      <c r="H67" s="334">
        <v>0</v>
      </c>
      <c r="I67" s="335">
        <f t="shared" si="1"/>
        <v>0</v>
      </c>
      <c r="J67" s="336">
        <f>I67*'Cash-flow BASE'!$D$56/12</f>
        <v>0</v>
      </c>
      <c r="L67" s="338">
        <v>47088</v>
      </c>
      <c r="M67" s="334">
        <v>0</v>
      </c>
      <c r="N67" s="335">
        <f t="shared" si="2"/>
        <v>0</v>
      </c>
      <c r="O67" s="336">
        <f>N67*'Cash-flow BASE'!$D$57/12</f>
        <v>0</v>
      </c>
      <c r="Q67" s="338">
        <v>47088</v>
      </c>
      <c r="R67" s="334">
        <v>0</v>
      </c>
      <c r="S67" s="335">
        <f t="shared" si="3"/>
        <v>0</v>
      </c>
      <c r="T67" s="336">
        <f>S67*'Cash-flow BASE'!$D$58/12</f>
        <v>0</v>
      </c>
    </row>
    <row r="68" spans="2:20" ht="14.1">
      <c r="B68" s="333">
        <v>47119</v>
      </c>
      <c r="C68" s="334">
        <v>0</v>
      </c>
      <c r="D68" s="335">
        <f t="shared" si="0"/>
        <v>0</v>
      </c>
      <c r="E68" s="336">
        <f>D68*'Cash-flow BASE'!$D$55/12</f>
        <v>0</v>
      </c>
      <c r="G68" s="333">
        <v>47119</v>
      </c>
      <c r="H68" s="334">
        <v>0</v>
      </c>
      <c r="I68" s="335">
        <f t="shared" si="1"/>
        <v>0</v>
      </c>
      <c r="J68" s="336">
        <f>I68*'Cash-flow BASE'!$D$56/12</f>
        <v>0</v>
      </c>
      <c r="L68" s="333">
        <v>47119</v>
      </c>
      <c r="M68" s="334">
        <v>0</v>
      </c>
      <c r="N68" s="335">
        <f t="shared" si="2"/>
        <v>0</v>
      </c>
      <c r="O68" s="336">
        <f>N68*'Cash-flow BASE'!$D$57/12</f>
        <v>0</v>
      </c>
      <c r="Q68" s="333">
        <v>47119</v>
      </c>
      <c r="R68" s="334">
        <v>0</v>
      </c>
      <c r="S68" s="335">
        <f t="shared" si="3"/>
        <v>0</v>
      </c>
      <c r="T68" s="336">
        <f>S68*'Cash-flow BASE'!$D$58/12</f>
        <v>0</v>
      </c>
    </row>
    <row r="69" spans="2:20" ht="14.1">
      <c r="B69" s="338">
        <v>47150</v>
      </c>
      <c r="C69" s="334">
        <v>0</v>
      </c>
      <c r="D69" s="335">
        <f t="shared" si="0"/>
        <v>0</v>
      </c>
      <c r="E69" s="336">
        <f>D69*'Cash-flow BASE'!$D$55/12</f>
        <v>0</v>
      </c>
      <c r="G69" s="338">
        <v>47150</v>
      </c>
      <c r="H69" s="334">
        <v>0</v>
      </c>
      <c r="I69" s="335">
        <f t="shared" si="1"/>
        <v>0</v>
      </c>
      <c r="J69" s="336">
        <f>I69*'Cash-flow BASE'!$D$56/12</f>
        <v>0</v>
      </c>
      <c r="L69" s="338">
        <v>47150</v>
      </c>
      <c r="M69" s="334">
        <v>0</v>
      </c>
      <c r="N69" s="335">
        <f t="shared" si="2"/>
        <v>0</v>
      </c>
      <c r="O69" s="336">
        <f>N69*'Cash-flow BASE'!$D$57/12</f>
        <v>0</v>
      </c>
      <c r="Q69" s="338">
        <v>47150</v>
      </c>
      <c r="R69" s="334">
        <v>0</v>
      </c>
      <c r="S69" s="335">
        <f t="shared" si="3"/>
        <v>0</v>
      </c>
      <c r="T69" s="336">
        <f>S69*'Cash-flow BASE'!$D$58/12</f>
        <v>0</v>
      </c>
    </row>
    <row r="70" spans="2:20" ht="14.1">
      <c r="B70" s="338">
        <v>47178</v>
      </c>
      <c r="C70" s="334">
        <v>0</v>
      </c>
      <c r="D70" s="335">
        <f t="shared" si="0"/>
        <v>0</v>
      </c>
      <c r="E70" s="336">
        <f>D70*'Cash-flow BASE'!$D$55/12</f>
        <v>0</v>
      </c>
      <c r="G70" s="338">
        <v>47178</v>
      </c>
      <c r="H70" s="334">
        <v>0</v>
      </c>
      <c r="I70" s="335">
        <f t="shared" si="1"/>
        <v>0</v>
      </c>
      <c r="J70" s="336">
        <f>I70*'Cash-flow BASE'!$D$56/12</f>
        <v>0</v>
      </c>
      <c r="L70" s="338">
        <v>47178</v>
      </c>
      <c r="M70" s="334">
        <v>0</v>
      </c>
      <c r="N70" s="335">
        <f t="shared" si="2"/>
        <v>0</v>
      </c>
      <c r="O70" s="336">
        <f>N70*'Cash-flow BASE'!$D$57/12</f>
        <v>0</v>
      </c>
      <c r="Q70" s="338">
        <v>47178</v>
      </c>
      <c r="R70" s="334">
        <v>0</v>
      </c>
      <c r="S70" s="335">
        <f t="shared" si="3"/>
        <v>0</v>
      </c>
      <c r="T70" s="336">
        <f>S70*'Cash-flow BASE'!$D$58/12</f>
        <v>0</v>
      </c>
    </row>
    <row r="71" spans="2:20" ht="14.1">
      <c r="B71" s="338">
        <v>47209</v>
      </c>
      <c r="C71" s="334">
        <v>0</v>
      </c>
      <c r="D71" s="335">
        <f t="shared" si="0"/>
        <v>0</v>
      </c>
      <c r="E71" s="336">
        <f>D71*'Cash-flow BASE'!$D$55/12</f>
        <v>0</v>
      </c>
      <c r="G71" s="338">
        <v>47209</v>
      </c>
      <c r="H71" s="334">
        <v>0</v>
      </c>
      <c r="I71" s="335">
        <f t="shared" si="1"/>
        <v>0</v>
      </c>
      <c r="J71" s="336">
        <f>I71*'Cash-flow BASE'!$D$56/12</f>
        <v>0</v>
      </c>
      <c r="L71" s="338">
        <v>47209</v>
      </c>
      <c r="M71" s="334">
        <v>0</v>
      </c>
      <c r="N71" s="335">
        <f t="shared" si="2"/>
        <v>0</v>
      </c>
      <c r="O71" s="336">
        <f>N71*'Cash-flow BASE'!$D$57/12</f>
        <v>0</v>
      </c>
      <c r="Q71" s="338">
        <v>47209</v>
      </c>
      <c r="R71" s="334">
        <v>0</v>
      </c>
      <c r="S71" s="335">
        <f t="shared" si="3"/>
        <v>0</v>
      </c>
      <c r="T71" s="336">
        <f>S71*'Cash-flow BASE'!$D$58/12</f>
        <v>0</v>
      </c>
    </row>
    <row r="72" spans="2:20" ht="14.1">
      <c r="B72" s="338">
        <v>47239</v>
      </c>
      <c r="C72" s="334">
        <v>0</v>
      </c>
      <c r="D72" s="335">
        <f t="shared" si="0"/>
        <v>0</v>
      </c>
      <c r="E72" s="336">
        <f>D72*'Cash-flow BASE'!$D$55/12</f>
        <v>0</v>
      </c>
      <c r="G72" s="338">
        <v>47239</v>
      </c>
      <c r="H72" s="334">
        <v>0</v>
      </c>
      <c r="I72" s="335">
        <f t="shared" si="1"/>
        <v>0</v>
      </c>
      <c r="J72" s="336">
        <f>I72*'Cash-flow BASE'!$D$56/12</f>
        <v>0</v>
      </c>
      <c r="L72" s="338">
        <v>47239</v>
      </c>
      <c r="M72" s="334">
        <v>0</v>
      </c>
      <c r="N72" s="335">
        <f t="shared" si="2"/>
        <v>0</v>
      </c>
      <c r="O72" s="336">
        <f>N72*'Cash-flow BASE'!$D$57/12</f>
        <v>0</v>
      </c>
      <c r="Q72" s="338">
        <v>47239</v>
      </c>
      <c r="R72" s="334">
        <v>0</v>
      </c>
      <c r="S72" s="335">
        <f t="shared" si="3"/>
        <v>0</v>
      </c>
      <c r="T72" s="336">
        <f>S72*'Cash-flow BASE'!$D$58/12</f>
        <v>0</v>
      </c>
    </row>
    <row r="73" spans="2:20" ht="14.1">
      <c r="B73" s="339">
        <v>47270</v>
      </c>
      <c r="C73" s="334">
        <v>0</v>
      </c>
      <c r="D73" s="335">
        <f t="shared" si="0"/>
        <v>0</v>
      </c>
      <c r="E73" s="336">
        <f>D73*'Cash-flow BASE'!$D$55/12</f>
        <v>0</v>
      </c>
      <c r="G73" s="339">
        <v>47270</v>
      </c>
      <c r="H73" s="334">
        <v>0</v>
      </c>
      <c r="I73" s="335">
        <f t="shared" si="1"/>
        <v>0</v>
      </c>
      <c r="J73" s="336">
        <f>I73*'Cash-flow BASE'!$D$56/12</f>
        <v>0</v>
      </c>
      <c r="L73" s="339">
        <v>47270</v>
      </c>
      <c r="M73" s="334">
        <v>0</v>
      </c>
      <c r="N73" s="335">
        <f t="shared" si="2"/>
        <v>0</v>
      </c>
      <c r="O73" s="336">
        <f>N73*'Cash-flow BASE'!$D$57/12</f>
        <v>0</v>
      </c>
      <c r="Q73" s="339">
        <v>47270</v>
      </c>
      <c r="R73" s="334">
        <v>0</v>
      </c>
      <c r="S73" s="335">
        <f t="shared" si="3"/>
        <v>0</v>
      </c>
      <c r="T73" s="336">
        <f>S73*'Cash-flow BASE'!$D$58/12</f>
        <v>0</v>
      </c>
    </row>
    <row r="74" spans="2:20" ht="14.1">
      <c r="B74" s="338">
        <v>47300</v>
      </c>
      <c r="C74" s="334">
        <v>0</v>
      </c>
      <c r="D74" s="335">
        <f t="shared" si="0"/>
        <v>0</v>
      </c>
      <c r="E74" s="336">
        <f>D74*'Cash-flow BASE'!$D$55/12</f>
        <v>0</v>
      </c>
      <c r="G74" s="338">
        <v>47300</v>
      </c>
      <c r="H74" s="334">
        <v>0</v>
      </c>
      <c r="I74" s="335">
        <f t="shared" si="1"/>
        <v>0</v>
      </c>
      <c r="J74" s="336">
        <f>I74*'Cash-flow BASE'!$D$56/12</f>
        <v>0</v>
      </c>
      <c r="L74" s="338">
        <v>47300</v>
      </c>
      <c r="M74" s="334">
        <v>0</v>
      </c>
      <c r="N74" s="335">
        <f t="shared" si="2"/>
        <v>0</v>
      </c>
      <c r="O74" s="336">
        <f>N74*'Cash-flow BASE'!$D$57/12</f>
        <v>0</v>
      </c>
      <c r="Q74" s="338">
        <v>47300</v>
      </c>
      <c r="R74" s="334">
        <v>0</v>
      </c>
      <c r="S74" s="335">
        <f t="shared" si="3"/>
        <v>0</v>
      </c>
      <c r="T74" s="336">
        <f>S74*'Cash-flow BASE'!$D$58/12</f>
        <v>0</v>
      </c>
    </row>
    <row r="75" spans="2:20" ht="14.1">
      <c r="B75" s="338">
        <v>47331</v>
      </c>
      <c r="C75" s="334">
        <v>0</v>
      </c>
      <c r="D75" s="335">
        <f t="shared" si="0"/>
        <v>0</v>
      </c>
      <c r="E75" s="336">
        <f>D75*'Cash-flow BASE'!$D$55/12</f>
        <v>0</v>
      </c>
      <c r="G75" s="338">
        <v>47331</v>
      </c>
      <c r="H75" s="334">
        <v>0</v>
      </c>
      <c r="I75" s="335">
        <f t="shared" si="1"/>
        <v>0</v>
      </c>
      <c r="J75" s="336">
        <f>I75*'Cash-flow BASE'!$D$56/12</f>
        <v>0</v>
      </c>
      <c r="L75" s="338">
        <v>47331</v>
      </c>
      <c r="M75" s="334">
        <v>0</v>
      </c>
      <c r="N75" s="335">
        <f t="shared" si="2"/>
        <v>0</v>
      </c>
      <c r="O75" s="336">
        <f>N75*'Cash-flow BASE'!$D$57/12</f>
        <v>0</v>
      </c>
      <c r="Q75" s="338">
        <v>47331</v>
      </c>
      <c r="R75" s="334">
        <v>0</v>
      </c>
      <c r="S75" s="335">
        <f t="shared" si="3"/>
        <v>0</v>
      </c>
      <c r="T75" s="336">
        <f>S75*'Cash-flow BASE'!$D$58/12</f>
        <v>0</v>
      </c>
    </row>
    <row r="76" spans="2:20" ht="14.1">
      <c r="B76" s="338">
        <v>47362</v>
      </c>
      <c r="C76" s="334">
        <v>0</v>
      </c>
      <c r="D76" s="335">
        <f t="shared" si="0"/>
        <v>0</v>
      </c>
      <c r="E76" s="336">
        <f>D76*'Cash-flow BASE'!$D$55/12</f>
        <v>0</v>
      </c>
      <c r="G76" s="338">
        <v>47362</v>
      </c>
      <c r="H76" s="334">
        <v>0</v>
      </c>
      <c r="I76" s="335">
        <f t="shared" si="1"/>
        <v>0</v>
      </c>
      <c r="J76" s="336">
        <f>I76*'Cash-flow BASE'!$D$56/12</f>
        <v>0</v>
      </c>
      <c r="L76" s="338">
        <v>47362</v>
      </c>
      <c r="M76" s="334">
        <v>0</v>
      </c>
      <c r="N76" s="335">
        <f t="shared" si="2"/>
        <v>0</v>
      </c>
      <c r="O76" s="336">
        <f>N76*'Cash-flow BASE'!$D$57/12</f>
        <v>0</v>
      </c>
      <c r="Q76" s="338">
        <v>47362</v>
      </c>
      <c r="R76" s="334">
        <v>0</v>
      </c>
      <c r="S76" s="335">
        <f t="shared" si="3"/>
        <v>0</v>
      </c>
      <c r="T76" s="336">
        <f>S76*'Cash-flow BASE'!$D$58/12</f>
        <v>0</v>
      </c>
    </row>
    <row r="77" spans="2:20" ht="14.1">
      <c r="B77" s="338">
        <v>47392</v>
      </c>
      <c r="C77" s="334">
        <v>0</v>
      </c>
      <c r="D77" s="335">
        <f t="shared" si="0"/>
        <v>0</v>
      </c>
      <c r="E77" s="336">
        <f>D77*'Cash-flow BASE'!$D$55/12</f>
        <v>0</v>
      </c>
      <c r="G77" s="338">
        <v>47392</v>
      </c>
      <c r="H77" s="334">
        <v>0</v>
      </c>
      <c r="I77" s="335">
        <f t="shared" si="1"/>
        <v>0</v>
      </c>
      <c r="J77" s="336">
        <f>I77*'Cash-flow BASE'!$D$56/12</f>
        <v>0</v>
      </c>
      <c r="L77" s="338">
        <v>47392</v>
      </c>
      <c r="M77" s="334">
        <v>0</v>
      </c>
      <c r="N77" s="335">
        <f t="shared" si="2"/>
        <v>0</v>
      </c>
      <c r="O77" s="336">
        <f>N77*'Cash-flow BASE'!$D$57/12</f>
        <v>0</v>
      </c>
      <c r="Q77" s="338">
        <v>47392</v>
      </c>
      <c r="R77" s="334">
        <v>0</v>
      </c>
      <c r="S77" s="335">
        <f t="shared" si="3"/>
        <v>0</v>
      </c>
      <c r="T77" s="336">
        <f>S77*'Cash-flow BASE'!$D$58/12</f>
        <v>0</v>
      </c>
    </row>
    <row r="78" spans="2:20" ht="14.1">
      <c r="B78" s="338">
        <v>47423</v>
      </c>
      <c r="C78" s="334">
        <v>0</v>
      </c>
      <c r="D78" s="335">
        <f t="shared" si="0"/>
        <v>0</v>
      </c>
      <c r="E78" s="336">
        <f>D78*'Cash-flow BASE'!$D$55/12</f>
        <v>0</v>
      </c>
      <c r="G78" s="338">
        <v>47423</v>
      </c>
      <c r="H78" s="334">
        <v>0</v>
      </c>
      <c r="I78" s="335">
        <f t="shared" si="1"/>
        <v>0</v>
      </c>
      <c r="J78" s="336">
        <f>I78*'Cash-flow BASE'!$D$56/12</f>
        <v>0</v>
      </c>
      <c r="L78" s="338">
        <v>47423</v>
      </c>
      <c r="M78" s="334">
        <v>0</v>
      </c>
      <c r="N78" s="335">
        <f t="shared" si="2"/>
        <v>0</v>
      </c>
      <c r="O78" s="336">
        <f>N78*'Cash-flow BASE'!$D$57/12</f>
        <v>0</v>
      </c>
      <c r="Q78" s="338">
        <v>47423</v>
      </c>
      <c r="R78" s="334">
        <v>0</v>
      </c>
      <c r="S78" s="335">
        <f t="shared" si="3"/>
        <v>0</v>
      </c>
      <c r="T78" s="336">
        <f>S78*'Cash-flow BASE'!$D$58/12</f>
        <v>0</v>
      </c>
    </row>
    <row r="79" spans="2:20" ht="14.1">
      <c r="B79" s="338">
        <v>47453</v>
      </c>
      <c r="C79" s="334">
        <v>0</v>
      </c>
      <c r="D79" s="335">
        <f>D78</f>
        <v>0</v>
      </c>
      <c r="E79" s="336">
        <f>D79*'Cash-flow BASE'!$D$55/12</f>
        <v>0</v>
      </c>
      <c r="G79" s="338">
        <v>47453</v>
      </c>
      <c r="H79" s="334">
        <v>0</v>
      </c>
      <c r="I79" s="335">
        <f>I78</f>
        <v>0</v>
      </c>
      <c r="J79" s="336">
        <f>I79*'Cash-flow BASE'!$D$56/12</f>
        <v>0</v>
      </c>
      <c r="L79" s="338">
        <v>47453</v>
      </c>
      <c r="M79" s="334">
        <v>0</v>
      </c>
      <c r="N79" s="335">
        <f>N78</f>
        <v>0</v>
      </c>
      <c r="O79" s="336">
        <f>N79*'Cash-flow BASE'!$D$57/12</f>
        <v>0</v>
      </c>
      <c r="Q79" s="338">
        <v>47453</v>
      </c>
      <c r="R79" s="334">
        <v>0</v>
      </c>
      <c r="S79" s="335">
        <f>S78</f>
        <v>0</v>
      </c>
      <c r="T79" s="336">
        <f>S79*'Cash-flow BASE'!$D$58/12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1:CF165"/>
  <sheetViews>
    <sheetView workbookViewId="0">
      <pane xSplit="3" topLeftCell="D1" activePane="topRight" state="frozen"/>
      <selection pane="topRight" activeCell="E2" sqref="E2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1" max="81" width="12.625" collapsed="1"/>
    <col min="82" max="84" width="12.625" hidden="1" outlineLevel="1"/>
  </cols>
  <sheetData>
    <row r="1" spans="2:83">
      <c r="B1" s="230" t="s">
        <v>172</v>
      </c>
      <c r="C1" s="231">
        <v>45808</v>
      </c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 t="s">
        <v>173</v>
      </c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29"/>
      <c r="CB1" s="229"/>
      <c r="CC1" s="229"/>
      <c r="CD1" s="229"/>
      <c r="CE1" s="229"/>
    </row>
    <row r="2" spans="2:83">
      <c r="B2" s="545" t="s">
        <v>174</v>
      </c>
      <c r="C2" s="564"/>
      <c r="D2" s="495"/>
      <c r="E2" s="530">
        <v>45292</v>
      </c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8"/>
      <c r="Q2" s="531">
        <v>2025</v>
      </c>
      <c r="R2" s="567"/>
      <c r="S2" s="567"/>
      <c r="T2" s="567"/>
      <c r="U2" s="567"/>
      <c r="V2" s="567"/>
      <c r="W2" s="567"/>
      <c r="X2" s="567"/>
      <c r="Y2" s="567"/>
      <c r="Z2" s="567"/>
      <c r="AA2" s="567"/>
      <c r="AB2" s="568"/>
      <c r="AC2" s="531">
        <v>2026</v>
      </c>
      <c r="AD2" s="567"/>
      <c r="AE2" s="567"/>
      <c r="AF2" s="567"/>
      <c r="AG2" s="567"/>
      <c r="AH2" s="567"/>
      <c r="AI2" s="567"/>
      <c r="AJ2" s="567"/>
      <c r="AK2" s="567"/>
      <c r="AL2" s="567"/>
      <c r="AM2" s="567"/>
      <c r="AN2" s="568"/>
      <c r="AO2" s="530">
        <v>46388</v>
      </c>
      <c r="AP2" s="567"/>
      <c r="AQ2" s="567"/>
      <c r="AR2" s="567"/>
      <c r="AS2" s="567"/>
      <c r="AT2" s="567"/>
      <c r="AU2" s="567"/>
      <c r="AV2" s="567"/>
      <c r="AW2" s="567"/>
      <c r="AX2" s="567"/>
      <c r="AY2" s="567"/>
      <c r="AZ2" s="568"/>
      <c r="BA2" s="530">
        <v>46753</v>
      </c>
      <c r="BB2" s="567"/>
      <c r="BC2" s="567"/>
      <c r="BD2" s="567"/>
      <c r="BE2" s="567"/>
      <c r="BF2" s="567"/>
      <c r="BG2" s="567"/>
      <c r="BH2" s="567"/>
      <c r="BI2" s="567"/>
      <c r="BJ2" s="567"/>
      <c r="BK2" s="567"/>
      <c r="BL2" s="568"/>
      <c r="BM2" s="530">
        <v>47119</v>
      </c>
      <c r="BN2" s="567"/>
      <c r="BO2" s="567"/>
      <c r="BP2" s="567"/>
      <c r="BQ2" s="567"/>
      <c r="BR2" s="567"/>
      <c r="BS2" s="567"/>
      <c r="BT2" s="567"/>
      <c r="BU2" s="567"/>
      <c r="BV2" s="567"/>
      <c r="BW2" s="567"/>
      <c r="BX2" s="568"/>
      <c r="BY2" s="532" t="s">
        <v>175</v>
      </c>
      <c r="BZ2" s="564"/>
      <c r="CA2" s="229"/>
      <c r="CB2" s="229"/>
      <c r="CC2" s="229"/>
      <c r="CD2" s="229"/>
      <c r="CE2" s="229"/>
    </row>
    <row r="3" spans="2:83">
      <c r="B3" s="559"/>
      <c r="C3" s="564"/>
      <c r="D3" s="495"/>
      <c r="E3" s="233" t="str">
        <f>IFERROR(VLOOKUP(TEXT(E4,"mm.yyyy"),HMG!$B$2:$C$1001, 2, FALSE),"")</f>
        <v>zapis KS</v>
      </c>
      <c r="F3" s="233" t="str">
        <f>IFERROR(VLOOKUP(TEXT(F4,"mm.yyyy"),HMG!$B$2:$C$1001, 2, FALSE),"")</f>
        <v/>
      </c>
      <c r="G3" s="233" t="str">
        <f>IFERROR(VLOOKUP(TEXT(G4,"mm.yyyy"),HMG!$B$2:$C$1001, 2, FALSE),"")</f>
        <v/>
      </c>
      <c r="H3" s="233" t="str">
        <f>IFERROR(VLOOKUP(TEXT(H4,"mm.yyyy"),HMG!$B$2:$C$1001, 2, FALSE),"")</f>
        <v/>
      </c>
      <c r="I3" s="233" t="str">
        <f>IFERROR(VLOOKUP(TEXT(I4,"mm.yyyy"),HMG!$B$2:$C$1001, 2, FALSE),"")</f>
        <v/>
      </c>
      <c r="J3" s="233" t="str">
        <f>IFERROR(VLOOKUP(TEXT(J4,"mm.yyyy"),HMG!$B$2:$C$1001, 2, FALSE),"")</f>
        <v/>
      </c>
      <c r="K3" s="233" t="str">
        <f>IFERROR(VLOOKUP(TEXT(K4,"mm.yyyy"),HMG!$B$2:$C$1001, 2, FALSE),"")</f>
        <v/>
      </c>
      <c r="L3" s="233" t="str">
        <f>IFERROR(VLOOKUP(TEXT(L4,"mm.yyyy"),HMG!$B$2:$C$1001, 2, FALSE),"")</f>
        <v/>
      </c>
      <c r="M3" s="233" t="str">
        <f>IFERROR(VLOOKUP(TEXT(M4,"mm.yyyy"),HMG!$B$2:$C$1001, 2, FALSE),"")</f>
        <v/>
      </c>
      <c r="N3" s="233" t="str">
        <f>IFERROR(VLOOKUP(TEXT(N4,"mm.yyyy"),HMG!$B$2:$C$1001, 2, FALSE),"")</f>
        <v/>
      </c>
      <c r="O3" s="233" t="str">
        <f>IFERROR(VLOOKUP(TEXT(O4,"mm.yyyy"),HMG!$B$2:$C$1001, 2, FALSE),"")</f>
        <v/>
      </c>
      <c r="P3" s="233" t="str">
        <f>IFERROR(VLOOKUP(TEXT(P4,"mm.yyyy"),HMG!$B$2:$C$1001, 2, FALSE),"")</f>
        <v/>
      </c>
      <c r="Q3" s="233" t="str">
        <f>IFERROR(VLOOKUP(TEXT(Q4,"mm.yyyy"),HMG!$B$2:$C$1001, 2, FALSE),"")</f>
        <v>zapis KS</v>
      </c>
      <c r="R3" s="233" t="str">
        <f>IFERROR(VLOOKUP(TEXT(R4,"mm.yyyy"),HMG!$B$2:$C$1001, 2, FALSE),"")</f>
        <v/>
      </c>
      <c r="S3" s="233" t="str">
        <f>IFERROR(VLOOKUP(TEXT(S4,"mm.yyyy"),HMG!$B$2:$C$1001, 2, FALSE),"")</f>
        <v/>
      </c>
      <c r="T3" s="233" t="str">
        <f>IFERROR(VLOOKUP(TEXT(T4,"mm.yyyy"),HMG!$B$2:$C$1001, 2, FALSE),"")</f>
        <v/>
      </c>
      <c r="U3" s="233" t="str">
        <f>IFERROR(VLOOKUP(TEXT(U4,"mm.yyyy"),HMG!$B$2:$C$1001, 2, FALSE),"")</f>
        <v/>
      </c>
      <c r="V3" s="233" t="str">
        <f>IFERROR(VLOOKUP(TEXT(V4,"mm.yyyy"),HMG!$B$2:$C$1001, 2, FALSE),"")</f>
        <v/>
      </c>
      <c r="W3" s="233" t="str">
        <f>IFERROR(VLOOKUP(TEXT(W4,"mm.yyyy"),HMG!$B$2:$C$1001, 2, FALSE),"")</f>
        <v/>
      </c>
      <c r="X3" s="233" t="str">
        <f>IFERROR(VLOOKUP(TEXT(X4,"mm.yyyy"),HMG!$B$2:$C$1001, 2, FALSE),"")</f>
        <v/>
      </c>
      <c r="Y3" s="233" t="str">
        <f>IFERROR(VLOOKUP(TEXT(Y4,"mm.yyyy"),HMG!$B$2:$C$1001, 2, FALSE),"")</f>
        <v/>
      </c>
      <c r="Z3" s="233" t="str">
        <f>IFERROR(VLOOKUP(TEXT(Z4,"mm.yyyy"),HMG!$B$2:$C$1001, 2, FALSE),"")</f>
        <v/>
      </c>
      <c r="AA3" s="233" t="str">
        <f>IFERROR(VLOOKUP(TEXT(AA4,"mm.yyyy"),HMG!$B$2:$C$1001, 2, FALSE),"")</f>
        <v/>
      </c>
      <c r="AB3" s="233" t="str">
        <f>IFERROR(VLOOKUP(TEXT(AB4,"mm.yyyy"),HMG!$B$2:$C$1001, 2, FALSE),"")</f>
        <v/>
      </c>
      <c r="AC3" s="233" t="str">
        <f>IFERROR(VLOOKUP(TEXT(AC4,"mm.yyyy"),HMG!$B$2:$C$1001, 2, FALSE),"")</f>
        <v>zapis KS</v>
      </c>
      <c r="AD3" s="233" t="str">
        <f>IFERROR(VLOOKUP(TEXT(AD4,"mm.yyyy"),HMG!$B$2:$C$1001, 2, FALSE),"")</f>
        <v/>
      </c>
      <c r="AE3" s="233" t="str">
        <f>IFERROR(VLOOKUP(TEXT(AE4,"mm.yyyy"),HMG!$B$2:$C$1001, 2, FALSE),"")</f>
        <v/>
      </c>
      <c r="AF3" s="233" t="str">
        <f>IFERROR(VLOOKUP(TEXT(AF4,"mm.yyyy"),HMG!$B$2:$C$1001, 2, FALSE),"")</f>
        <v/>
      </c>
      <c r="AG3" s="233" t="str">
        <f>IFERROR(VLOOKUP(TEXT(AG4,"mm.yyyy"),HMG!$B$2:$C$1001, 2, FALSE),"")</f>
        <v/>
      </c>
      <c r="AH3" s="233" t="str">
        <f>IFERROR(VLOOKUP(TEXT(AH4,"mm.yyyy"),HMG!$B$2:$C$1001, 2, FALSE),"")</f>
        <v/>
      </c>
      <c r="AI3" s="233" t="str">
        <f>IFERROR(VLOOKUP(TEXT(AI4,"mm.yyyy"),HMG!$B$2:$C$1001, 2, FALSE),"")</f>
        <v/>
      </c>
      <c r="AJ3" s="233" t="str">
        <f>IFERROR(VLOOKUP(TEXT(AJ4,"mm.yyyy"),HMG!$B$2:$C$1001, 2, FALSE),"")</f>
        <v/>
      </c>
      <c r="AK3" s="233" t="str">
        <f>IFERROR(VLOOKUP(TEXT(AK4,"mm.yyyy"),HMG!$B$2:$C$1001, 2, FALSE),"")</f>
        <v/>
      </c>
      <c r="AL3" s="233" t="str">
        <f>IFERROR(VLOOKUP(TEXT(AL4,"mm.yyyy"),HMG!$B$2:$C$1001, 2, FALSE),"")</f>
        <v/>
      </c>
      <c r="AM3" s="233" t="str">
        <f>IFERROR(VLOOKUP(TEXT(AM4,"mm.yyyy"),HMG!$B$2:$C$1001, 2, FALSE),"")</f>
        <v/>
      </c>
      <c r="AN3" s="233" t="str">
        <f>IFERROR(VLOOKUP(TEXT(AN4,"mm.yyyy"),HMG!$B$2:$C$1001, 2, FALSE),"")</f>
        <v/>
      </c>
      <c r="AO3" s="233" t="str">
        <f>IFERROR(VLOOKUP(TEXT(AO4,"mm.yyyy"),HMG!$B$2:$C$1001, 2, FALSE),"")</f>
        <v>zapis KS</v>
      </c>
      <c r="AP3" s="233" t="str">
        <f>IFERROR(VLOOKUP(TEXT(AP4,"mm.yyyy"),HMG!$B$2:$C$1001, 2, FALSE),"")</f>
        <v/>
      </c>
      <c r="AQ3" s="233" t="str">
        <f>IFERROR(VLOOKUP(TEXT(AQ4,"mm.yyyy"),HMG!$B$2:$C$1001, 2, FALSE),"")</f>
        <v/>
      </c>
      <c r="AR3" s="233" t="str">
        <f>IFERROR(VLOOKUP(TEXT(AR4,"mm.yyyy"),HMG!$B$2:$C$1001, 2, FALSE),"")</f>
        <v/>
      </c>
      <c r="AS3" s="233" t="str">
        <f>IFERROR(VLOOKUP(TEXT(AS4,"mm.yyyy"),HMG!$B$2:$C$1001, 2, FALSE),"")</f>
        <v/>
      </c>
      <c r="AT3" s="233" t="str">
        <f>IFERROR(VLOOKUP(TEXT(AT4,"mm.yyyy"),HMG!$B$2:$C$1001, 2, FALSE),"")</f>
        <v/>
      </c>
      <c r="AU3" s="233" t="str">
        <f>IFERROR(VLOOKUP(TEXT(AU4,"mm.yyyy"),HMG!$B$2:$C$1001, 2, FALSE),"")</f>
        <v/>
      </c>
      <c r="AV3" s="233" t="str">
        <f>IFERROR(VLOOKUP(TEXT(AV4,"mm.yyyy"),HMG!$B$2:$C$1001, 2, FALSE),"")</f>
        <v/>
      </c>
      <c r="AW3" s="233" t="str">
        <f>IFERROR(VLOOKUP(TEXT(AW4,"mm.yyyy"),HMG!$B$2:$C$1001, 2, FALSE),"")</f>
        <v/>
      </c>
      <c r="AX3" s="233" t="str">
        <f>IFERROR(VLOOKUP(TEXT(AX4,"mm.yyyy"),HMG!$B$2:$C$1001, 2, FALSE),"")</f>
        <v/>
      </c>
      <c r="AY3" s="233" t="str">
        <f>IFERROR(VLOOKUP(TEXT(AY4,"mm.yyyy"),HMG!$B$2:$C$1001, 2, FALSE),"")</f>
        <v/>
      </c>
      <c r="AZ3" s="233" t="str">
        <f>IFERROR(VLOOKUP(TEXT(AZ4,"mm.yyyy"),HMG!$B$2:$C$1001, 2, FALSE),"")</f>
        <v/>
      </c>
      <c r="BA3" s="233" t="str">
        <f>IFERROR(VLOOKUP(TEXT(BA4,"mm.yyyy"),HMG!$B$2:$C$1001, 2, FALSE),"")</f>
        <v>zapis KS</v>
      </c>
      <c r="BB3" s="233" t="str">
        <f>IFERROR(VLOOKUP(TEXT(BB4,"mm.yyyy"),HMG!$B$2:$C$1001, 2, FALSE),"")</f>
        <v/>
      </c>
      <c r="BC3" s="233" t="str">
        <f>IFERROR(VLOOKUP(TEXT(BC4,"mm.yyyy"),HMG!$B$2:$C$1001, 2, FALSE),"")</f>
        <v/>
      </c>
      <c r="BD3" s="233" t="str">
        <f>IFERROR(VLOOKUP(TEXT(BD4,"mm.yyyy"),HMG!$B$2:$C$1001, 2, FALSE),"")</f>
        <v/>
      </c>
      <c r="BE3" s="233" t="str">
        <f>IFERROR(VLOOKUP(TEXT(BE4,"mm.yyyy"),HMG!$B$2:$C$1001, 2, FALSE),"")</f>
        <v/>
      </c>
      <c r="BF3" s="233" t="str">
        <f>IFERROR(VLOOKUP(TEXT(BF4,"mm.yyyy"),HMG!$B$2:$C$1001, 2, FALSE),"")</f>
        <v/>
      </c>
      <c r="BG3" s="233" t="str">
        <f>IFERROR(VLOOKUP(TEXT(BG4,"mm.yyyy"),HMG!$B$2:$C$1001, 2, FALSE),"")</f>
        <v/>
      </c>
      <c r="BH3" s="233" t="str">
        <f>IFERROR(VLOOKUP(TEXT(BH4,"mm.yyyy"),HMG!$B$2:$C$1001, 2, FALSE),"")</f>
        <v/>
      </c>
      <c r="BI3" s="233" t="str">
        <f>IFERROR(VLOOKUP(TEXT(BI4,"mm.yyyy"),HMG!$B$2:$C$1001, 2, FALSE),"")</f>
        <v/>
      </c>
      <c r="BJ3" s="233" t="str">
        <f>IFERROR(VLOOKUP(TEXT(BJ4,"mm.yyyy"),HMG!$B$2:$C$1001, 2, FALSE),"")</f>
        <v/>
      </c>
      <c r="BK3" s="233" t="str">
        <f>IFERROR(VLOOKUP(TEXT(BK4,"mm.yyyy"),HMG!$B$2:$C$1001, 2, FALSE),"")</f>
        <v/>
      </c>
      <c r="BL3" s="233" t="str">
        <f>IFERROR(VLOOKUP(TEXT(BL4,"mm.yyyy"),HMG!$B$2:$C$1001, 2, FALSE),"")</f>
        <v/>
      </c>
      <c r="BM3" s="233" t="str">
        <f>IFERROR(VLOOKUP(TEXT(BM4,"mm.yyyy"),HMG!$B$2:$C$1001, 2, FALSE),"")</f>
        <v>zapis KS</v>
      </c>
      <c r="BN3" s="233" t="str">
        <f>IFERROR(VLOOKUP(TEXT(BN4,"mm.yyyy"),HMG!$B$2:$C$1001, 2, FALSE),"")</f>
        <v/>
      </c>
      <c r="BO3" s="233" t="str">
        <f>IFERROR(VLOOKUP(TEXT(BO4,"mm.yyyy"),HMG!$B$2:$C$1001, 2, FALSE),"")</f>
        <v/>
      </c>
      <c r="BP3" s="233" t="str">
        <f>IFERROR(VLOOKUP(TEXT(BP4,"mm.yyyy"),HMG!$B$2:$C$1001, 2, FALSE),"")</f>
        <v/>
      </c>
      <c r="BQ3" s="233" t="str">
        <f>IFERROR(VLOOKUP(TEXT(BQ4,"mm.yyyy"),HMG!$B$2:$C$1001, 2, FALSE),"")</f>
        <v/>
      </c>
      <c r="BR3" s="233" t="str">
        <f>IFERROR(VLOOKUP(TEXT(BR4,"mm.yyyy"),HMG!$B$2:$C$1001, 2, FALSE),"")</f>
        <v/>
      </c>
      <c r="BS3" s="233" t="str">
        <f>IFERROR(VLOOKUP(TEXT(BS4,"mm.yyyy"),HMG!$B$2:$C$1001, 2, FALSE),"")</f>
        <v/>
      </c>
      <c r="BT3" s="233" t="str">
        <f>IFERROR(VLOOKUP(TEXT(BT4,"mm.yyyy"),HMG!$B$2:$C$1001, 2, FALSE),"")</f>
        <v/>
      </c>
      <c r="BU3" s="233" t="str">
        <f>IFERROR(VLOOKUP(TEXT(BU4,"mm.yyyy"),HMG!$B$2:$C$1001, 2, FALSE),"")</f>
        <v/>
      </c>
      <c r="BV3" s="233" t="str">
        <f>IFERROR(VLOOKUP(TEXT(BV4,"mm.yyyy"),HMG!$B$2:$C$1001, 2, FALSE),"")</f>
        <v/>
      </c>
      <c r="BW3" s="233" t="str">
        <f>IFERROR(VLOOKUP(TEXT(BW4,"mm.yyyy"),HMG!$B$2:$C$1001, 2, FALSE),"")</f>
        <v/>
      </c>
      <c r="BX3" s="233" t="str">
        <f>IFERROR(VLOOKUP(TEXT(BX4,"mm.yyyy"),HMG!$B$2:$C$1001, 2, FALSE),"")</f>
        <v/>
      </c>
      <c r="BY3" s="559"/>
      <c r="BZ3" s="564"/>
      <c r="CA3" s="229"/>
      <c r="CB3" s="229"/>
      <c r="CC3" s="229"/>
      <c r="CD3" s="229" t="s">
        <v>176</v>
      </c>
      <c r="CE3" s="229" t="s">
        <v>177</v>
      </c>
    </row>
    <row r="4" spans="2:83">
      <c r="B4" s="562"/>
      <c r="C4" s="563"/>
      <c r="D4" s="496"/>
      <c r="E4" s="234">
        <v>45292</v>
      </c>
      <c r="F4" s="234">
        <v>45323</v>
      </c>
      <c r="G4" s="234">
        <v>45352</v>
      </c>
      <c r="H4" s="234">
        <v>45383</v>
      </c>
      <c r="I4" s="234">
        <v>45413</v>
      </c>
      <c r="J4" s="234">
        <v>45444</v>
      </c>
      <c r="K4" s="234">
        <v>45474</v>
      </c>
      <c r="L4" s="234">
        <v>45505</v>
      </c>
      <c r="M4" s="234">
        <v>45536</v>
      </c>
      <c r="N4" s="234">
        <v>45566</v>
      </c>
      <c r="O4" s="234">
        <v>45597</v>
      </c>
      <c r="P4" s="234">
        <v>45627</v>
      </c>
      <c r="Q4" s="234">
        <v>45658</v>
      </c>
      <c r="R4" s="234">
        <v>45689</v>
      </c>
      <c r="S4" s="234">
        <v>45717</v>
      </c>
      <c r="T4" s="234">
        <v>45748</v>
      </c>
      <c r="U4" s="234">
        <v>45778</v>
      </c>
      <c r="V4" s="234">
        <v>45809</v>
      </c>
      <c r="W4" s="234">
        <v>45839</v>
      </c>
      <c r="X4" s="234">
        <v>45870</v>
      </c>
      <c r="Y4" s="234">
        <v>45901</v>
      </c>
      <c r="Z4" s="234">
        <v>45931</v>
      </c>
      <c r="AA4" s="234">
        <v>45962</v>
      </c>
      <c r="AB4" s="234">
        <v>45992</v>
      </c>
      <c r="AC4" s="234">
        <v>46023</v>
      </c>
      <c r="AD4" s="234">
        <v>46054</v>
      </c>
      <c r="AE4" s="234">
        <v>46082</v>
      </c>
      <c r="AF4" s="234">
        <v>46113</v>
      </c>
      <c r="AG4" s="234">
        <v>46143</v>
      </c>
      <c r="AH4" s="234">
        <v>46174</v>
      </c>
      <c r="AI4" s="234">
        <v>46204</v>
      </c>
      <c r="AJ4" s="234">
        <v>46235</v>
      </c>
      <c r="AK4" s="234">
        <v>46266</v>
      </c>
      <c r="AL4" s="234">
        <v>46296</v>
      </c>
      <c r="AM4" s="234">
        <v>46327</v>
      </c>
      <c r="AN4" s="234">
        <v>46357</v>
      </c>
      <c r="AO4" s="234">
        <v>46388</v>
      </c>
      <c r="AP4" s="234">
        <v>46419</v>
      </c>
      <c r="AQ4" s="234">
        <v>46447</v>
      </c>
      <c r="AR4" s="234">
        <v>46478</v>
      </c>
      <c r="AS4" s="234">
        <v>46508</v>
      </c>
      <c r="AT4" s="234">
        <v>46539</v>
      </c>
      <c r="AU4" s="234">
        <v>46569</v>
      </c>
      <c r="AV4" s="234">
        <v>46600</v>
      </c>
      <c r="AW4" s="234">
        <v>46631</v>
      </c>
      <c r="AX4" s="234">
        <v>46661</v>
      </c>
      <c r="AY4" s="234">
        <v>46692</v>
      </c>
      <c r="AZ4" s="234">
        <v>46722</v>
      </c>
      <c r="BA4" s="234">
        <v>46753</v>
      </c>
      <c r="BB4" s="234">
        <v>46784</v>
      </c>
      <c r="BC4" s="234">
        <v>46813</v>
      </c>
      <c r="BD4" s="234">
        <v>46844</v>
      </c>
      <c r="BE4" s="234">
        <v>46874</v>
      </c>
      <c r="BF4" s="234">
        <v>46905</v>
      </c>
      <c r="BG4" s="234">
        <v>46935</v>
      </c>
      <c r="BH4" s="234">
        <v>46966</v>
      </c>
      <c r="BI4" s="234">
        <v>46997</v>
      </c>
      <c r="BJ4" s="234">
        <v>47027</v>
      </c>
      <c r="BK4" s="234">
        <v>47058</v>
      </c>
      <c r="BL4" s="234">
        <v>47088</v>
      </c>
      <c r="BM4" s="234">
        <v>47119</v>
      </c>
      <c r="BN4" s="234">
        <v>47150</v>
      </c>
      <c r="BO4" s="234">
        <v>47178</v>
      </c>
      <c r="BP4" s="234">
        <v>47209</v>
      </c>
      <c r="BQ4" s="234">
        <v>47239</v>
      </c>
      <c r="BR4" s="234">
        <v>47270</v>
      </c>
      <c r="BS4" s="234">
        <v>47300</v>
      </c>
      <c r="BT4" s="234">
        <v>47331</v>
      </c>
      <c r="BU4" s="234">
        <v>47362</v>
      </c>
      <c r="BV4" s="234">
        <v>47392</v>
      </c>
      <c r="BW4" s="234">
        <v>47423</v>
      </c>
      <c r="BX4" s="234">
        <v>47453</v>
      </c>
      <c r="BY4" s="562"/>
      <c r="BZ4" s="563"/>
      <c r="CA4" s="229"/>
      <c r="CB4" s="229"/>
      <c r="CC4" s="229"/>
      <c r="CD4" s="229" t="s">
        <v>158</v>
      </c>
      <c r="CE4" s="229"/>
    </row>
    <row r="5" spans="2:83">
      <c r="B5" s="546" t="s">
        <v>178</v>
      </c>
      <c r="C5" s="235" t="s">
        <v>286</v>
      </c>
      <c r="D5" s="236" t="s">
        <v>180</v>
      </c>
      <c r="E5" s="237"/>
      <c r="F5" s="238"/>
      <c r="G5" s="238"/>
      <c r="H5" s="238"/>
      <c r="I5" s="238">
        <v>87324</v>
      </c>
      <c r="J5" s="238">
        <v>100000</v>
      </c>
      <c r="K5" s="238">
        <f>-3400000</f>
        <v>-3400000</v>
      </c>
      <c r="L5" s="238">
        <f>150000+4850000+1000+23500</f>
        <v>5024500</v>
      </c>
      <c r="M5" s="238">
        <v>1000</v>
      </c>
      <c r="N5" s="238">
        <v>80000</v>
      </c>
      <c r="O5" s="238">
        <f>21000+10000</f>
        <v>31000</v>
      </c>
      <c r="P5" s="238"/>
      <c r="Q5" s="238"/>
      <c r="R5" s="238"/>
      <c r="S5" s="238"/>
      <c r="T5" s="238"/>
      <c r="U5" s="238">
        <f>178000+25000</f>
        <v>203000</v>
      </c>
      <c r="V5" s="238">
        <v>1100000</v>
      </c>
      <c r="W5" s="238">
        <f>4016306+200000</f>
        <v>4216306</v>
      </c>
      <c r="X5" s="238">
        <v>50000</v>
      </c>
      <c r="Y5" s="238">
        <v>200000</v>
      </c>
      <c r="Z5" s="238">
        <f>1400000+300000</f>
        <v>1700000</v>
      </c>
      <c r="AA5" s="238">
        <v>1550000</v>
      </c>
      <c r="AB5" s="238">
        <v>1650000</v>
      </c>
      <c r="AC5" s="238"/>
      <c r="AD5" s="238"/>
      <c r="AE5" s="238"/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9"/>
      <c r="BY5" s="240">
        <f t="shared" ref="BY5:BY16" si="0">SUM(E5:BX5)</f>
        <v>12593130</v>
      </c>
      <c r="BZ5" s="533">
        <f>SUM(BY5:BY8)</f>
        <v>54830832</v>
      </c>
      <c r="CA5" s="229"/>
      <c r="CB5" s="248"/>
      <c r="CC5" s="229"/>
      <c r="CD5" s="240">
        <f t="shared" ref="CD5:CD14" si="1">SUM(H5:CC5)</f>
        <v>80017092</v>
      </c>
      <c r="CE5" s="533">
        <f>SUM(CD5:CD8)</f>
        <v>164492496</v>
      </c>
    </row>
    <row r="6" spans="2:83">
      <c r="B6" s="569"/>
      <c r="C6" s="241" t="s">
        <v>287</v>
      </c>
      <c r="D6" s="236" t="s">
        <v>180</v>
      </c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>
        <v>3994008</v>
      </c>
      <c r="Q6" s="238">
        <f t="shared" ref="Q6:R6" si="2">Q5</f>
        <v>0</v>
      </c>
      <c r="R6" s="238">
        <f t="shared" si="2"/>
        <v>0</v>
      </c>
      <c r="S6" s="238"/>
      <c r="T6" s="238">
        <v>500000</v>
      </c>
      <c r="U6" s="238"/>
      <c r="V6" s="238"/>
      <c r="W6" s="238">
        <v>19083694</v>
      </c>
      <c r="X6" s="238"/>
      <c r="Y6" s="238">
        <f>(Y5-X5)*4</f>
        <v>600000</v>
      </c>
      <c r="Z6" s="238">
        <f>1440000*4</f>
        <v>5760000</v>
      </c>
      <c r="AA6" s="238">
        <f>AA5*4</f>
        <v>6200000</v>
      </c>
      <c r="AB6" s="238">
        <f>AB5*4-500000</f>
        <v>6100000</v>
      </c>
      <c r="AC6" s="238"/>
      <c r="AD6" s="238">
        <f t="shared" ref="AD6:AL6" si="3">AD5*4</f>
        <v>0</v>
      </c>
      <c r="AE6" s="238">
        <f t="shared" si="3"/>
        <v>0</v>
      </c>
      <c r="AF6" s="238">
        <f t="shared" si="3"/>
        <v>0</v>
      </c>
      <c r="AG6" s="238">
        <f t="shared" si="3"/>
        <v>0</v>
      </c>
      <c r="AH6" s="238">
        <f t="shared" si="3"/>
        <v>0</v>
      </c>
      <c r="AI6" s="238">
        <f t="shared" si="3"/>
        <v>0</v>
      </c>
      <c r="AJ6" s="238">
        <f t="shared" si="3"/>
        <v>0</v>
      </c>
      <c r="AK6" s="238">
        <f t="shared" si="3"/>
        <v>0</v>
      </c>
      <c r="AL6" s="238">
        <f t="shared" si="3"/>
        <v>0</v>
      </c>
      <c r="AM6" s="238"/>
      <c r="AN6" s="238"/>
      <c r="AO6" s="238"/>
      <c r="AP6" s="238"/>
      <c r="AQ6" s="238"/>
      <c r="AR6" s="238"/>
      <c r="AS6" s="238"/>
      <c r="AT6" s="238"/>
      <c r="AU6" s="238"/>
      <c r="AV6" s="238"/>
      <c r="AW6" s="238"/>
      <c r="AX6" s="238"/>
      <c r="AY6" s="238"/>
      <c r="AZ6" s="238"/>
      <c r="BA6" s="238"/>
      <c r="BB6" s="238"/>
      <c r="BC6" s="238"/>
      <c r="BD6" s="238"/>
      <c r="BE6" s="238"/>
      <c r="BF6" s="238"/>
      <c r="BG6" s="238"/>
      <c r="BH6" s="238"/>
      <c r="BI6" s="238"/>
      <c r="BJ6" s="238"/>
      <c r="BK6" s="238"/>
      <c r="BL6" s="238"/>
      <c r="BM6" s="238"/>
      <c r="BN6" s="238"/>
      <c r="BO6" s="238"/>
      <c r="BP6" s="238"/>
      <c r="BQ6" s="238"/>
      <c r="BR6" s="238"/>
      <c r="BS6" s="238"/>
      <c r="BT6" s="238"/>
      <c r="BU6" s="238"/>
      <c r="BV6" s="238"/>
      <c r="BW6" s="238"/>
      <c r="BX6" s="235"/>
      <c r="BY6" s="240">
        <f t="shared" si="0"/>
        <v>42237702</v>
      </c>
      <c r="BZ6" s="564"/>
      <c r="CA6" s="248"/>
      <c r="CB6" s="248"/>
      <c r="CC6" s="229"/>
      <c r="CD6" s="240">
        <f t="shared" si="1"/>
        <v>84475404</v>
      </c>
      <c r="CE6" s="564"/>
    </row>
    <row r="7" spans="2:83">
      <c r="B7" s="569"/>
      <c r="C7" s="241" t="s">
        <v>182</v>
      </c>
      <c r="D7" s="236" t="s">
        <v>180</v>
      </c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  <c r="T7" s="238"/>
      <c r="U7" s="238"/>
      <c r="V7" s="238"/>
      <c r="W7" s="238"/>
      <c r="X7" s="238"/>
      <c r="Y7" s="238"/>
      <c r="Z7" s="238"/>
      <c r="AA7" s="238"/>
      <c r="AB7" s="238"/>
      <c r="AC7" s="238"/>
      <c r="AD7" s="238"/>
      <c r="AE7" s="238"/>
      <c r="AF7" s="238"/>
      <c r="AG7" s="238"/>
      <c r="AH7" s="238"/>
      <c r="AI7" s="238"/>
      <c r="AJ7" s="238"/>
      <c r="AK7" s="238"/>
      <c r="AL7" s="238"/>
      <c r="AM7" s="238"/>
      <c r="AN7" s="238"/>
      <c r="AO7" s="238"/>
      <c r="AP7" s="238"/>
      <c r="AQ7" s="238"/>
      <c r="AR7" s="238"/>
      <c r="AS7" s="238"/>
      <c r="AT7" s="238"/>
      <c r="AU7" s="238"/>
      <c r="AV7" s="238"/>
      <c r="AW7" s="238"/>
      <c r="AX7" s="238"/>
      <c r="AY7" s="238"/>
      <c r="AZ7" s="238"/>
      <c r="BA7" s="238"/>
      <c r="BB7" s="238"/>
      <c r="BC7" s="238"/>
      <c r="BD7" s="238"/>
      <c r="BE7" s="238"/>
      <c r="BF7" s="238"/>
      <c r="BG7" s="238"/>
      <c r="BH7" s="238"/>
      <c r="BI7" s="238"/>
      <c r="BJ7" s="238"/>
      <c r="BK7" s="238"/>
      <c r="BL7" s="238"/>
      <c r="BM7" s="238"/>
      <c r="BN7" s="238"/>
      <c r="BO7" s="238"/>
      <c r="BP7" s="238"/>
      <c r="BQ7" s="238"/>
      <c r="BR7" s="238"/>
      <c r="BS7" s="238"/>
      <c r="BT7" s="238"/>
      <c r="BU7" s="238"/>
      <c r="BV7" s="238"/>
      <c r="BW7" s="238"/>
      <c r="BX7" s="235"/>
      <c r="BY7" s="240">
        <f t="shared" si="0"/>
        <v>0</v>
      </c>
      <c r="BZ7" s="564"/>
      <c r="CA7" s="229"/>
      <c r="CB7" s="229"/>
      <c r="CC7" s="229"/>
      <c r="CD7" s="240">
        <f t="shared" si="1"/>
        <v>0</v>
      </c>
      <c r="CE7" s="564"/>
    </row>
    <row r="8" spans="2:83">
      <c r="B8" s="570"/>
      <c r="C8" s="241" t="s">
        <v>183</v>
      </c>
      <c r="D8" s="242" t="s">
        <v>180</v>
      </c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341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1"/>
      <c r="BY8" s="244">
        <f t="shared" si="0"/>
        <v>0</v>
      </c>
      <c r="BZ8" s="563"/>
      <c r="CA8" s="229"/>
      <c r="CB8" s="229"/>
      <c r="CC8" s="229"/>
      <c r="CD8" s="244">
        <f t="shared" si="1"/>
        <v>0</v>
      </c>
      <c r="CE8" s="563"/>
    </row>
    <row r="9" spans="2:83">
      <c r="B9" s="546" t="s">
        <v>184</v>
      </c>
      <c r="C9" s="239" t="s">
        <v>185</v>
      </c>
      <c r="D9" s="236" t="s">
        <v>180</v>
      </c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9"/>
      <c r="BY9" s="240">
        <f t="shared" si="0"/>
        <v>0</v>
      </c>
      <c r="BZ9" s="533">
        <f>SUM(BY9:BY11)</f>
        <v>59320000</v>
      </c>
      <c r="CA9" s="229"/>
      <c r="CB9" s="229"/>
      <c r="CC9" s="229"/>
      <c r="CD9" s="240">
        <f t="shared" si="1"/>
        <v>59320000</v>
      </c>
      <c r="CE9" s="533">
        <f>SUM(CD9:CD11)</f>
        <v>290192008</v>
      </c>
    </row>
    <row r="10" spans="2:83">
      <c r="B10" s="569"/>
      <c r="C10" s="239" t="s">
        <v>186</v>
      </c>
      <c r="D10" s="236" t="s">
        <v>180</v>
      </c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  <c r="Y10" s="238"/>
      <c r="Z10" s="238"/>
      <c r="AA10" s="238"/>
      <c r="AB10" s="238"/>
      <c r="AC10" s="238">
        <f t="shared" ref="AC10:AH10" si="4">-AC62</f>
        <v>53333.333333333336</v>
      </c>
      <c r="AD10" s="238">
        <f t="shared" si="4"/>
        <v>120000</v>
      </c>
      <c r="AE10" s="238">
        <f t="shared" si="4"/>
        <v>186666.66666666666</v>
      </c>
      <c r="AF10" s="238">
        <f t="shared" si="4"/>
        <v>253333.33333333334</v>
      </c>
      <c r="AG10" s="238">
        <f t="shared" si="4"/>
        <v>320000</v>
      </c>
      <c r="AH10" s="238">
        <f t="shared" si="4"/>
        <v>386666.66666666669</v>
      </c>
      <c r="AI10" s="238"/>
      <c r="AJ10" s="238"/>
      <c r="AK10" s="238"/>
      <c r="AL10" s="238"/>
      <c r="AM10" s="238"/>
      <c r="AN10" s="238"/>
      <c r="AO10" s="238"/>
      <c r="AP10" s="238"/>
      <c r="AQ10" s="238"/>
      <c r="AR10" s="238"/>
      <c r="AS10" s="238"/>
      <c r="AT10" s="238"/>
      <c r="AU10" s="238"/>
      <c r="AV10" s="238"/>
      <c r="AW10" s="238"/>
      <c r="AX10" s="238"/>
      <c r="AY10" s="238"/>
      <c r="AZ10" s="238"/>
      <c r="BA10" s="238"/>
      <c r="BB10" s="238"/>
      <c r="BC10" s="238"/>
      <c r="BD10" s="238"/>
      <c r="BE10" s="238"/>
      <c r="BF10" s="238"/>
      <c r="BG10" s="238"/>
      <c r="BH10" s="238"/>
      <c r="BI10" s="238"/>
      <c r="BJ10" s="238"/>
      <c r="BK10" s="238"/>
      <c r="BL10" s="238"/>
      <c r="BM10" s="238"/>
      <c r="BN10" s="238"/>
      <c r="BO10" s="238"/>
      <c r="BP10" s="238"/>
      <c r="BQ10" s="238"/>
      <c r="BR10" s="238"/>
      <c r="BS10" s="238"/>
      <c r="BT10" s="238"/>
      <c r="BU10" s="238"/>
      <c r="BV10" s="238"/>
      <c r="BW10" s="238"/>
      <c r="BX10" s="235"/>
      <c r="BY10" s="240">
        <f t="shared" si="0"/>
        <v>1320000</v>
      </c>
      <c r="BZ10" s="564"/>
      <c r="CA10" s="229">
        <f>BZ9</f>
        <v>59320000</v>
      </c>
      <c r="CB10" s="229"/>
      <c r="CC10" s="229"/>
      <c r="CD10" s="240">
        <f t="shared" si="1"/>
        <v>61960000</v>
      </c>
      <c r="CE10" s="564"/>
    </row>
    <row r="11" spans="2:83">
      <c r="B11" s="568"/>
      <c r="C11" s="241" t="s">
        <v>187</v>
      </c>
      <c r="D11" s="242" t="s">
        <v>180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>
        <v>8000000</v>
      </c>
      <c r="AD11" s="243">
        <v>10000000</v>
      </c>
      <c r="AE11" s="243">
        <v>10000000</v>
      </c>
      <c r="AF11" s="243">
        <v>10000000</v>
      </c>
      <c r="AG11" s="243">
        <v>10000000</v>
      </c>
      <c r="AH11" s="243">
        <v>10000000</v>
      </c>
      <c r="AI11" s="243"/>
      <c r="AJ11" s="243"/>
      <c r="AK11" s="243"/>
      <c r="AL11" s="243"/>
      <c r="AM11" s="243"/>
      <c r="AN11" s="243"/>
      <c r="AO11" s="245"/>
      <c r="AP11" s="243"/>
      <c r="AQ11" s="243"/>
      <c r="AR11" s="243"/>
      <c r="AS11" s="243"/>
      <c r="AT11" s="243"/>
      <c r="AU11" s="243"/>
      <c r="AV11" s="243"/>
      <c r="AW11" s="243"/>
      <c r="AX11" s="243"/>
      <c r="AY11" s="243"/>
      <c r="AZ11" s="243"/>
      <c r="BA11" s="243"/>
      <c r="BB11" s="243"/>
      <c r="BC11" s="243"/>
      <c r="BD11" s="243"/>
      <c r="BE11" s="243"/>
      <c r="BF11" s="243"/>
      <c r="BG11" s="243"/>
      <c r="BH11" s="243"/>
      <c r="BI11" s="243"/>
      <c r="BJ11" s="243"/>
      <c r="BK11" s="243"/>
      <c r="BL11" s="243"/>
      <c r="BM11" s="243"/>
      <c r="BN11" s="243"/>
      <c r="BO11" s="243"/>
      <c r="BP11" s="243"/>
      <c r="BQ11" s="243"/>
      <c r="BR11" s="243"/>
      <c r="BS11" s="243"/>
      <c r="BT11" s="243"/>
      <c r="BU11" s="243"/>
      <c r="BV11" s="243"/>
      <c r="BW11" s="243"/>
      <c r="BX11" s="241"/>
      <c r="BY11" s="244">
        <f t="shared" si="0"/>
        <v>58000000</v>
      </c>
      <c r="BZ11" s="571"/>
      <c r="CA11" s="342">
        <f>SUM(E5:AI6,E75:AI76)</f>
        <v>52912008</v>
      </c>
      <c r="CB11" s="343"/>
      <c r="CC11" s="246"/>
      <c r="CD11" s="244">
        <f t="shared" si="1"/>
        <v>168912008</v>
      </c>
      <c r="CE11" s="571"/>
    </row>
    <row r="12" spans="2:83">
      <c r="B12" s="546" t="s">
        <v>188</v>
      </c>
      <c r="C12" s="235" t="s">
        <v>189</v>
      </c>
      <c r="D12" s="236" t="s">
        <v>180</v>
      </c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237"/>
      <c r="Y12" s="237"/>
      <c r="Z12" s="237"/>
      <c r="AA12" s="237"/>
      <c r="AB12" s="237"/>
      <c r="AC12" s="237"/>
      <c r="AD12" s="237"/>
      <c r="AE12" s="237"/>
      <c r="AF12" s="237"/>
      <c r="AG12" s="247"/>
      <c r="AH12" s="247"/>
      <c r="AI12" s="247"/>
      <c r="AJ12" s="247">
        <f>Businessplan_prodej!$J$18/12</f>
        <v>709678.25</v>
      </c>
      <c r="AK12" s="237"/>
      <c r="AL12" s="237"/>
      <c r="AM12" s="237"/>
      <c r="AN12" s="247"/>
      <c r="AO12" s="24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9"/>
      <c r="BY12" s="240">
        <f t="shared" si="0"/>
        <v>709678.25</v>
      </c>
      <c r="BZ12" s="533">
        <f>SUM(BY12:BY16)</f>
        <v>116895952.83807543</v>
      </c>
      <c r="CA12" s="248"/>
      <c r="CB12" s="326"/>
      <c r="CC12" s="229"/>
      <c r="CD12" s="240">
        <f t="shared" si="1"/>
        <v>118315309.33807543</v>
      </c>
      <c r="CE12" s="533">
        <f>SUM(CD12:CD16)</f>
        <v>459827576.23492628</v>
      </c>
    </row>
    <row r="13" spans="2:83">
      <c r="B13" s="569"/>
      <c r="C13" s="235" t="s">
        <v>190</v>
      </c>
      <c r="D13" s="236" t="s">
        <v>180</v>
      </c>
      <c r="E13" s="237"/>
      <c r="F13" s="237"/>
      <c r="G13" s="237"/>
      <c r="H13" s="237"/>
      <c r="I13" s="237"/>
      <c r="J13" s="237"/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47"/>
      <c r="AH13" s="247"/>
      <c r="AI13" s="247"/>
      <c r="AJ13" s="247">
        <f>Businessplan_prodej!$J$30+Businessplan_prodej!$N$26</f>
        <v>113098414.28571427</v>
      </c>
      <c r="AK13" s="237"/>
      <c r="AL13" s="237"/>
      <c r="AM13" s="237"/>
      <c r="AN13" s="247"/>
      <c r="AO13" s="24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9"/>
      <c r="BY13" s="240">
        <f t="shared" si="0"/>
        <v>113098414.28571427</v>
      </c>
      <c r="BZ13" s="564"/>
      <c r="CA13" s="344">
        <f>CA11+CA10</f>
        <v>112232008</v>
      </c>
      <c r="CB13" s="229"/>
      <c r="CC13" s="229"/>
      <c r="CD13" s="240">
        <f t="shared" si="1"/>
        <v>338428836.57142854</v>
      </c>
      <c r="CE13" s="564"/>
    </row>
    <row r="14" spans="2:83">
      <c r="B14" s="569"/>
      <c r="C14" s="235" t="s">
        <v>10</v>
      </c>
      <c r="D14" s="236" t="s">
        <v>191</v>
      </c>
      <c r="E14" s="238"/>
      <c r="F14" s="238"/>
      <c r="G14" s="238"/>
      <c r="H14" s="238"/>
      <c r="I14" s="238"/>
      <c r="J14" s="238"/>
      <c r="K14" s="238"/>
      <c r="L14" s="238"/>
      <c r="M14" s="238">
        <f t="shared" ref="M14:Q14" si="5">(+M24+M39)*0.21</f>
        <v>0</v>
      </c>
      <c r="N14" s="238">
        <f t="shared" si="5"/>
        <v>-13776</v>
      </c>
      <c r="O14" s="238">
        <f t="shared" si="5"/>
        <v>-5282.1074380165282</v>
      </c>
      <c r="P14" s="238">
        <f t="shared" si="5"/>
        <v>-6400.3140495867765</v>
      </c>
      <c r="Q14" s="238">
        <f t="shared" si="5"/>
        <v>-75505.586776859505</v>
      </c>
      <c r="R14" s="238">
        <f>(+R24+R39+R18)*0.21</f>
        <v>-37834.663519834707</v>
      </c>
      <c r="S14" s="238">
        <f t="shared" ref="S14:AJ14" si="6">(+S24+S39)*0.21</f>
        <v>-36054.993354545455</v>
      </c>
      <c r="T14" s="238">
        <f t="shared" si="6"/>
        <v>-93217.737899999993</v>
      </c>
      <c r="U14" s="238">
        <f t="shared" si="6"/>
        <v>-38241.126329752064</v>
      </c>
      <c r="V14" s="238">
        <f t="shared" si="6"/>
        <v>-147779.37493801652</v>
      </c>
      <c r="W14" s="238">
        <f t="shared" si="6"/>
        <v>-363785.00743801653</v>
      </c>
      <c r="X14" s="238">
        <f t="shared" si="6"/>
        <v>-30307.47493801653</v>
      </c>
      <c r="Y14" s="238">
        <f t="shared" si="6"/>
        <v>-145807.47493801653</v>
      </c>
      <c r="Z14" s="238">
        <f t="shared" si="6"/>
        <v>-158686.71193801655</v>
      </c>
      <c r="AA14" s="238">
        <f t="shared" si="6"/>
        <v>-68386.711938016539</v>
      </c>
      <c r="AB14" s="238">
        <f t="shared" si="6"/>
        <v>-68386.711938016539</v>
      </c>
      <c r="AC14" s="238">
        <f t="shared" si="6"/>
        <v>-68386.711938016539</v>
      </c>
      <c r="AD14" s="238">
        <f t="shared" si="6"/>
        <v>-68386.711938016539</v>
      </c>
      <c r="AE14" s="238">
        <f t="shared" si="6"/>
        <v>-68386.711938016539</v>
      </c>
      <c r="AF14" s="238">
        <f t="shared" si="6"/>
        <v>-87513.511938016542</v>
      </c>
      <c r="AG14" s="238">
        <f t="shared" si="6"/>
        <v>-68386.711938016539</v>
      </c>
      <c r="AH14" s="238">
        <f t="shared" si="6"/>
        <v>-70486.711938016539</v>
      </c>
      <c r="AI14" s="238">
        <f t="shared" si="6"/>
        <v>-19126.8</v>
      </c>
      <c r="AJ14" s="238">
        <f t="shared" si="6"/>
        <v>-168159.23249999998</v>
      </c>
      <c r="AK14" s="238"/>
      <c r="AL14" s="238"/>
      <c r="AM14" s="238"/>
      <c r="AN14" s="238"/>
      <c r="AO14" s="238"/>
      <c r="AP14" s="238"/>
      <c r="AQ14" s="238"/>
      <c r="AR14" s="238"/>
      <c r="AS14" s="238"/>
      <c r="AT14" s="238"/>
      <c r="AU14" s="238"/>
      <c r="AV14" s="238"/>
      <c r="AW14" s="238"/>
      <c r="AX14" s="238"/>
      <c r="AY14" s="238"/>
      <c r="AZ14" s="238"/>
      <c r="BA14" s="238"/>
      <c r="BB14" s="238"/>
      <c r="BC14" s="238"/>
      <c r="BD14" s="238"/>
      <c r="BE14" s="238"/>
      <c r="BF14" s="238"/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5"/>
      <c r="BY14" s="240">
        <f t="shared" si="0"/>
        <v>-1908285.1015628104</v>
      </c>
      <c r="BZ14" s="564"/>
      <c r="CA14" s="248">
        <f>CA10/CA13</f>
        <v>0.52854797002295462</v>
      </c>
      <c r="CB14" s="229"/>
      <c r="CC14" s="229"/>
      <c r="CD14" s="240">
        <f t="shared" si="1"/>
        <v>-3816569.6745776506</v>
      </c>
      <c r="CE14" s="564"/>
    </row>
    <row r="15" spans="2:83">
      <c r="B15" s="569"/>
      <c r="C15" s="235" t="s">
        <v>10</v>
      </c>
      <c r="D15" s="236" t="s">
        <v>180</v>
      </c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>
        <f>-M14</f>
        <v>0</v>
      </c>
      <c r="P15" s="238"/>
      <c r="Q15" s="238"/>
      <c r="R15" s="238"/>
      <c r="S15" s="238"/>
      <c r="T15" s="238"/>
      <c r="U15" s="238"/>
      <c r="V15" s="238">
        <f t="shared" ref="V15:AJ15" si="7">-T14</f>
        <v>93217.737899999993</v>
      </c>
      <c r="W15" s="238">
        <f t="shared" si="7"/>
        <v>38241.126329752064</v>
      </c>
      <c r="X15" s="238">
        <f t="shared" si="7"/>
        <v>147779.37493801652</v>
      </c>
      <c r="Y15" s="238">
        <f t="shared" si="7"/>
        <v>363785.00743801653</v>
      </c>
      <c r="Z15" s="238">
        <f t="shared" si="7"/>
        <v>30307.47493801653</v>
      </c>
      <c r="AA15" s="238">
        <f t="shared" si="7"/>
        <v>145807.47493801653</v>
      </c>
      <c r="AB15" s="238">
        <f t="shared" si="7"/>
        <v>158686.71193801655</v>
      </c>
      <c r="AC15" s="238">
        <f t="shared" si="7"/>
        <v>68386.711938016539</v>
      </c>
      <c r="AD15" s="238">
        <f t="shared" si="7"/>
        <v>68386.711938016539</v>
      </c>
      <c r="AE15" s="238">
        <f t="shared" si="7"/>
        <v>68386.711938016539</v>
      </c>
      <c r="AF15" s="238">
        <f t="shared" si="7"/>
        <v>68386.711938016539</v>
      </c>
      <c r="AG15" s="238">
        <f t="shared" si="7"/>
        <v>68386.711938016539</v>
      </c>
      <c r="AH15" s="238">
        <f t="shared" si="7"/>
        <v>87513.511938016542</v>
      </c>
      <c r="AI15" s="238">
        <f t="shared" si="7"/>
        <v>68386.711938016539</v>
      </c>
      <c r="AJ15" s="238">
        <f t="shared" si="7"/>
        <v>70486.711938016539</v>
      </c>
      <c r="AK15" s="238"/>
      <c r="AL15" s="238"/>
      <c r="AM15" s="238"/>
      <c r="AN15" s="238"/>
      <c r="AO15" s="238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38"/>
      <c r="BG15" s="238"/>
      <c r="BH15" s="238"/>
      <c r="BI15" s="238"/>
      <c r="BJ15" s="238"/>
      <c r="BK15" s="238"/>
      <c r="BL15" s="238"/>
      <c r="BM15" s="238"/>
      <c r="BN15" s="238"/>
      <c r="BO15" s="238"/>
      <c r="BP15" s="238"/>
      <c r="BQ15" s="238"/>
      <c r="BR15" s="238"/>
      <c r="BS15" s="238"/>
      <c r="BT15" s="238"/>
      <c r="BU15" s="238"/>
      <c r="BV15" s="238"/>
      <c r="BW15" s="238"/>
      <c r="BX15" s="235"/>
      <c r="BY15" s="240">
        <f t="shared" si="0"/>
        <v>1546145.4039239674</v>
      </c>
      <c r="BZ15" s="564"/>
      <c r="CA15" s="229"/>
      <c r="CB15" s="229"/>
      <c r="CC15" s="229"/>
      <c r="CD15" s="249"/>
      <c r="CE15" s="564"/>
    </row>
    <row r="16" spans="2:83">
      <c r="B16" s="568"/>
      <c r="C16" s="241" t="s">
        <v>192</v>
      </c>
      <c r="D16" s="242" t="s">
        <v>193</v>
      </c>
      <c r="E16" s="243"/>
      <c r="F16" s="243"/>
      <c r="G16" s="243"/>
      <c r="H16" s="243"/>
      <c r="I16" s="243"/>
      <c r="J16" s="243"/>
      <c r="K16" s="243">
        <f>3400000</f>
        <v>3400000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>
        <f>-Businessplan_prodej!$F$47</f>
        <v>0</v>
      </c>
      <c r="AH16" s="243">
        <f>-Businessplan_prodej!$F$38</f>
        <v>50000</v>
      </c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1"/>
      <c r="BY16" s="244">
        <f t="shared" si="0"/>
        <v>3450000</v>
      </c>
      <c r="BZ16" s="571"/>
      <c r="CA16" s="229"/>
      <c r="CB16" s="229"/>
      <c r="CC16" s="229"/>
      <c r="CD16" s="244">
        <f>SUM(H16:CC16)</f>
        <v>6900000</v>
      </c>
      <c r="CE16" s="571"/>
    </row>
    <row r="17" spans="2:83" ht="15.95">
      <c r="B17" s="547" t="s">
        <v>194</v>
      </c>
      <c r="C17" s="563"/>
      <c r="D17" s="250"/>
      <c r="E17" s="251">
        <f t="shared" ref="E17:BX17" si="8">SUM(E5:E16)</f>
        <v>0</v>
      </c>
      <c r="F17" s="251">
        <f t="shared" si="8"/>
        <v>0</v>
      </c>
      <c r="G17" s="251">
        <f t="shared" si="8"/>
        <v>0</v>
      </c>
      <c r="H17" s="251">
        <f t="shared" si="8"/>
        <v>0</v>
      </c>
      <c r="I17" s="251">
        <f t="shared" si="8"/>
        <v>87324</v>
      </c>
      <c r="J17" s="251">
        <f t="shared" si="8"/>
        <v>100000</v>
      </c>
      <c r="K17" s="251">
        <f t="shared" si="8"/>
        <v>0</v>
      </c>
      <c r="L17" s="251">
        <f t="shared" si="8"/>
        <v>5024500</v>
      </c>
      <c r="M17" s="251">
        <f t="shared" si="8"/>
        <v>1000</v>
      </c>
      <c r="N17" s="251">
        <f t="shared" si="8"/>
        <v>66224</v>
      </c>
      <c r="O17" s="251">
        <f t="shared" si="8"/>
        <v>25717.89256198347</v>
      </c>
      <c r="P17" s="251">
        <f t="shared" si="8"/>
        <v>3987607.6859504133</v>
      </c>
      <c r="Q17" s="251">
        <f t="shared" si="8"/>
        <v>-75505.586776859505</v>
      </c>
      <c r="R17" s="251">
        <f t="shared" si="8"/>
        <v>-37834.663519834707</v>
      </c>
      <c r="S17" s="251">
        <f t="shared" si="8"/>
        <v>-36054.993354545455</v>
      </c>
      <c r="T17" s="251">
        <f t="shared" si="8"/>
        <v>406782.26209999999</v>
      </c>
      <c r="U17" s="251">
        <f t="shared" si="8"/>
        <v>164758.87367024794</v>
      </c>
      <c r="V17" s="251">
        <f t="shared" si="8"/>
        <v>1045438.3629619834</v>
      </c>
      <c r="W17" s="251">
        <f t="shared" si="8"/>
        <v>22974456.118891738</v>
      </c>
      <c r="X17" s="251">
        <f t="shared" si="8"/>
        <v>167471.9</v>
      </c>
      <c r="Y17" s="251">
        <f t="shared" si="8"/>
        <v>1017977.5325</v>
      </c>
      <c r="Z17" s="251">
        <f t="shared" si="8"/>
        <v>7331620.7630000003</v>
      </c>
      <c r="AA17" s="251">
        <f t="shared" si="8"/>
        <v>7827420.7630000003</v>
      </c>
      <c r="AB17" s="251">
        <f t="shared" si="8"/>
        <v>7840300</v>
      </c>
      <c r="AC17" s="251">
        <f t="shared" si="8"/>
        <v>8053333.333333333</v>
      </c>
      <c r="AD17" s="251">
        <f t="shared" si="8"/>
        <v>10120000</v>
      </c>
      <c r="AE17" s="251">
        <f t="shared" si="8"/>
        <v>10186666.666666666</v>
      </c>
      <c r="AF17" s="251">
        <f t="shared" si="8"/>
        <v>10234206.533333333</v>
      </c>
      <c r="AG17" s="251">
        <f t="shared" si="8"/>
        <v>10320000</v>
      </c>
      <c r="AH17" s="251">
        <f t="shared" si="8"/>
        <v>10453693.466666667</v>
      </c>
      <c r="AI17" s="251">
        <f t="shared" si="8"/>
        <v>49259.911938016536</v>
      </c>
      <c r="AJ17" s="251">
        <f t="shared" si="8"/>
        <v>113710420.01515229</v>
      </c>
      <c r="AK17" s="251">
        <f t="shared" si="8"/>
        <v>0</v>
      </c>
      <c r="AL17" s="251">
        <f t="shared" si="8"/>
        <v>0</v>
      </c>
      <c r="AM17" s="251">
        <f t="shared" si="8"/>
        <v>0</v>
      </c>
      <c r="AN17" s="251">
        <f t="shared" si="8"/>
        <v>0</v>
      </c>
      <c r="AO17" s="251">
        <f t="shared" si="8"/>
        <v>0</v>
      </c>
      <c r="AP17" s="251">
        <f t="shared" si="8"/>
        <v>0</v>
      </c>
      <c r="AQ17" s="251">
        <f t="shared" si="8"/>
        <v>0</v>
      </c>
      <c r="AR17" s="251">
        <f t="shared" si="8"/>
        <v>0</v>
      </c>
      <c r="AS17" s="251">
        <f t="shared" si="8"/>
        <v>0</v>
      </c>
      <c r="AT17" s="251">
        <f t="shared" si="8"/>
        <v>0</v>
      </c>
      <c r="AU17" s="251">
        <f t="shared" si="8"/>
        <v>0</v>
      </c>
      <c r="AV17" s="251">
        <f t="shared" si="8"/>
        <v>0</v>
      </c>
      <c r="AW17" s="251">
        <f t="shared" si="8"/>
        <v>0</v>
      </c>
      <c r="AX17" s="251">
        <f t="shared" si="8"/>
        <v>0</v>
      </c>
      <c r="AY17" s="251">
        <f t="shared" si="8"/>
        <v>0</v>
      </c>
      <c r="AZ17" s="251">
        <f t="shared" si="8"/>
        <v>0</v>
      </c>
      <c r="BA17" s="251">
        <f t="shared" si="8"/>
        <v>0</v>
      </c>
      <c r="BB17" s="251">
        <f t="shared" si="8"/>
        <v>0</v>
      </c>
      <c r="BC17" s="251">
        <f t="shared" si="8"/>
        <v>0</v>
      </c>
      <c r="BD17" s="251">
        <f t="shared" si="8"/>
        <v>0</v>
      </c>
      <c r="BE17" s="251">
        <f t="shared" si="8"/>
        <v>0</v>
      </c>
      <c r="BF17" s="251">
        <f t="shared" si="8"/>
        <v>0</v>
      </c>
      <c r="BG17" s="251">
        <f t="shared" si="8"/>
        <v>0</v>
      </c>
      <c r="BH17" s="251">
        <f t="shared" si="8"/>
        <v>0</v>
      </c>
      <c r="BI17" s="251">
        <f t="shared" si="8"/>
        <v>0</v>
      </c>
      <c r="BJ17" s="251">
        <f t="shared" si="8"/>
        <v>0</v>
      </c>
      <c r="BK17" s="251">
        <f t="shared" si="8"/>
        <v>0</v>
      </c>
      <c r="BL17" s="251">
        <f t="shared" si="8"/>
        <v>0</v>
      </c>
      <c r="BM17" s="251">
        <f t="shared" si="8"/>
        <v>0</v>
      </c>
      <c r="BN17" s="251">
        <f t="shared" si="8"/>
        <v>0</v>
      </c>
      <c r="BO17" s="251">
        <f t="shared" si="8"/>
        <v>0</v>
      </c>
      <c r="BP17" s="251">
        <f t="shared" si="8"/>
        <v>0</v>
      </c>
      <c r="BQ17" s="251">
        <f t="shared" si="8"/>
        <v>0</v>
      </c>
      <c r="BR17" s="251">
        <f t="shared" si="8"/>
        <v>0</v>
      </c>
      <c r="BS17" s="251">
        <f t="shared" si="8"/>
        <v>0</v>
      </c>
      <c r="BT17" s="251">
        <f t="shared" si="8"/>
        <v>0</v>
      </c>
      <c r="BU17" s="251">
        <f t="shared" si="8"/>
        <v>0</v>
      </c>
      <c r="BV17" s="251">
        <f t="shared" si="8"/>
        <v>0</v>
      </c>
      <c r="BW17" s="251">
        <f t="shared" si="8"/>
        <v>0</v>
      </c>
      <c r="BX17" s="251">
        <f t="shared" si="8"/>
        <v>0</v>
      </c>
      <c r="BY17" s="535">
        <f>BZ5+BZ9+BZ12</f>
        <v>231046784.83807543</v>
      </c>
      <c r="BZ17" s="563"/>
      <c r="CA17" s="229"/>
      <c r="CB17" s="229"/>
      <c r="CC17" s="229"/>
      <c r="CD17" s="535">
        <f>CE5+CE9+CE12</f>
        <v>914512080.23492622</v>
      </c>
      <c r="CE17" s="563"/>
    </row>
    <row r="18" spans="2:83" ht="15.95">
      <c r="B18" s="544" t="s">
        <v>195</v>
      </c>
      <c r="C18" s="252" t="s">
        <v>196</v>
      </c>
      <c r="D18" s="253"/>
      <c r="E18" s="254">
        <f t="shared" ref="E18:BY18" si="9">SUM(E19:E23)</f>
        <v>0</v>
      </c>
      <c r="F18" s="254">
        <f t="shared" si="9"/>
        <v>0</v>
      </c>
      <c r="G18" s="254">
        <f t="shared" si="9"/>
        <v>0</v>
      </c>
      <c r="H18" s="254">
        <f t="shared" si="9"/>
        <v>0</v>
      </c>
      <c r="I18" s="254">
        <f t="shared" si="9"/>
        <v>0</v>
      </c>
      <c r="J18" s="254">
        <f t="shared" si="9"/>
        <v>-100000</v>
      </c>
      <c r="K18" s="254">
        <f t="shared" si="9"/>
        <v>0</v>
      </c>
      <c r="L18" s="254">
        <f t="shared" si="9"/>
        <v>-5000000</v>
      </c>
      <c r="M18" s="254">
        <f t="shared" si="9"/>
        <v>0</v>
      </c>
      <c r="N18" s="254">
        <f t="shared" si="9"/>
        <v>0</v>
      </c>
      <c r="O18" s="254">
        <f t="shared" si="9"/>
        <v>0</v>
      </c>
      <c r="P18" s="254">
        <f t="shared" si="9"/>
        <v>0</v>
      </c>
      <c r="Q18" s="254">
        <f t="shared" si="9"/>
        <v>0</v>
      </c>
      <c r="R18" s="254">
        <f t="shared" si="9"/>
        <v>0</v>
      </c>
      <c r="S18" s="254">
        <f t="shared" si="9"/>
        <v>-849420</v>
      </c>
      <c r="T18" s="254">
        <f t="shared" si="9"/>
        <v>0</v>
      </c>
      <c r="U18" s="254">
        <f t="shared" si="9"/>
        <v>0</v>
      </c>
      <c r="V18" s="254">
        <f t="shared" si="9"/>
        <v>0</v>
      </c>
      <c r="W18" s="254">
        <f t="shared" si="9"/>
        <v>-21000000</v>
      </c>
      <c r="X18" s="254">
        <f t="shared" si="9"/>
        <v>0</v>
      </c>
      <c r="Y18" s="254">
        <f t="shared" si="9"/>
        <v>0</v>
      </c>
      <c r="Z18" s="254">
        <f t="shared" si="9"/>
        <v>0</v>
      </c>
      <c r="AA18" s="254">
        <f t="shared" si="9"/>
        <v>0</v>
      </c>
      <c r="AB18" s="254">
        <f t="shared" si="9"/>
        <v>0</v>
      </c>
      <c r="AC18" s="254">
        <f t="shared" si="9"/>
        <v>0</v>
      </c>
      <c r="AD18" s="254">
        <f t="shared" si="9"/>
        <v>0</v>
      </c>
      <c r="AE18" s="254">
        <f t="shared" si="9"/>
        <v>0</v>
      </c>
      <c r="AF18" s="254">
        <f t="shared" si="9"/>
        <v>0</v>
      </c>
      <c r="AG18" s="254">
        <f t="shared" si="9"/>
        <v>0</v>
      </c>
      <c r="AH18" s="254">
        <f t="shared" si="9"/>
        <v>0</v>
      </c>
      <c r="AI18" s="254">
        <f t="shared" si="9"/>
        <v>0</v>
      </c>
      <c r="AJ18" s="254">
        <f t="shared" si="9"/>
        <v>0</v>
      </c>
      <c r="AK18" s="254">
        <f t="shared" si="9"/>
        <v>0</v>
      </c>
      <c r="AL18" s="254">
        <f t="shared" si="9"/>
        <v>0</v>
      </c>
      <c r="AM18" s="254">
        <f t="shared" si="9"/>
        <v>0</v>
      </c>
      <c r="AN18" s="254">
        <f t="shared" si="9"/>
        <v>0</v>
      </c>
      <c r="AO18" s="254">
        <f t="shared" si="9"/>
        <v>0</v>
      </c>
      <c r="AP18" s="254">
        <f t="shared" si="9"/>
        <v>0</v>
      </c>
      <c r="AQ18" s="254">
        <f t="shared" si="9"/>
        <v>0</v>
      </c>
      <c r="AR18" s="254">
        <f t="shared" si="9"/>
        <v>0</v>
      </c>
      <c r="AS18" s="254">
        <f t="shared" si="9"/>
        <v>0</v>
      </c>
      <c r="AT18" s="254">
        <f t="shared" si="9"/>
        <v>0</v>
      </c>
      <c r="AU18" s="254">
        <f t="shared" si="9"/>
        <v>0</v>
      </c>
      <c r="AV18" s="254">
        <f t="shared" si="9"/>
        <v>0</v>
      </c>
      <c r="AW18" s="254">
        <f t="shared" si="9"/>
        <v>0</v>
      </c>
      <c r="AX18" s="254">
        <f t="shared" si="9"/>
        <v>0</v>
      </c>
      <c r="AY18" s="254">
        <f t="shared" si="9"/>
        <v>0</v>
      </c>
      <c r="AZ18" s="254">
        <f t="shared" si="9"/>
        <v>0</v>
      </c>
      <c r="BA18" s="254">
        <f t="shared" si="9"/>
        <v>0</v>
      </c>
      <c r="BB18" s="254">
        <f t="shared" si="9"/>
        <v>0</v>
      </c>
      <c r="BC18" s="254">
        <f t="shared" si="9"/>
        <v>0</v>
      </c>
      <c r="BD18" s="254">
        <f t="shared" si="9"/>
        <v>0</v>
      </c>
      <c r="BE18" s="254">
        <f t="shared" si="9"/>
        <v>0</v>
      </c>
      <c r="BF18" s="254">
        <f t="shared" si="9"/>
        <v>0</v>
      </c>
      <c r="BG18" s="254">
        <f t="shared" si="9"/>
        <v>0</v>
      </c>
      <c r="BH18" s="254">
        <f t="shared" si="9"/>
        <v>0</v>
      </c>
      <c r="BI18" s="254">
        <f t="shared" si="9"/>
        <v>0</v>
      </c>
      <c r="BJ18" s="254">
        <f t="shared" si="9"/>
        <v>0</v>
      </c>
      <c r="BK18" s="254">
        <f t="shared" si="9"/>
        <v>0</v>
      </c>
      <c r="BL18" s="254">
        <f t="shared" si="9"/>
        <v>0</v>
      </c>
      <c r="BM18" s="254">
        <f t="shared" si="9"/>
        <v>0</v>
      </c>
      <c r="BN18" s="254">
        <f t="shared" si="9"/>
        <v>0</v>
      </c>
      <c r="BO18" s="254">
        <f t="shared" si="9"/>
        <v>0</v>
      </c>
      <c r="BP18" s="254">
        <f t="shared" si="9"/>
        <v>0</v>
      </c>
      <c r="BQ18" s="254">
        <f t="shared" si="9"/>
        <v>0</v>
      </c>
      <c r="BR18" s="254">
        <f t="shared" si="9"/>
        <v>0</v>
      </c>
      <c r="BS18" s="254">
        <f t="shared" si="9"/>
        <v>0</v>
      </c>
      <c r="BT18" s="254">
        <f t="shared" si="9"/>
        <v>0</v>
      </c>
      <c r="BU18" s="254">
        <f t="shared" si="9"/>
        <v>0</v>
      </c>
      <c r="BV18" s="254">
        <f t="shared" si="9"/>
        <v>0</v>
      </c>
      <c r="BW18" s="254">
        <f t="shared" si="9"/>
        <v>0</v>
      </c>
      <c r="BX18" s="254">
        <f t="shared" si="9"/>
        <v>0</v>
      </c>
      <c r="BY18" s="255">
        <f t="shared" si="9"/>
        <v>-26949420</v>
      </c>
      <c r="BZ18" s="534">
        <f>BY18+BY24+BY28+BY36+BY39+BY49+BY55+BY63+BY71</f>
        <v>-114348331.03516707</v>
      </c>
      <c r="CA18" s="229"/>
      <c r="CB18" s="229"/>
      <c r="CC18" s="229"/>
      <c r="CD18" s="256" t="e">
        <f t="array" aca="1" ref="CD18" ca="1">SUM(INDEX(E18:BX18, , 1):INDEX(E18:BX18, ,MATCH($CD$4, $E$3:$BX$3,0) ))</f>
        <v>#N/A</v>
      </c>
      <c r="CE18" s="534" t="e">
        <f ca="1">CD18+CD24+CD28+CD36+CD39+CD49+CD55+CD63+CD71</f>
        <v>#N/A</v>
      </c>
    </row>
    <row r="19" spans="2:83" ht="15.95" outlineLevel="1">
      <c r="B19" s="569"/>
      <c r="C19" s="257" t="s">
        <v>197</v>
      </c>
      <c r="D19" s="258" t="s">
        <v>191</v>
      </c>
      <c r="E19" s="259"/>
      <c r="F19" s="259"/>
      <c r="G19" s="259"/>
      <c r="H19" s="259"/>
      <c r="I19" s="259"/>
      <c r="J19" s="259"/>
      <c r="K19" s="259"/>
      <c r="L19" s="259">
        <f>-5000000</f>
        <v>-5000000</v>
      </c>
      <c r="M19" s="259"/>
      <c r="N19" s="259"/>
      <c r="O19" s="259"/>
      <c r="P19" s="259"/>
      <c r="Q19" s="259"/>
      <c r="R19" s="259"/>
      <c r="S19" s="259"/>
      <c r="T19" s="259"/>
      <c r="U19" s="259"/>
      <c r="V19" s="259"/>
      <c r="W19" s="259">
        <f>-26000000-$L$19</f>
        <v>-21000000</v>
      </c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60">
        <f t="shared" ref="BY19:BY23" si="10">SUM(E19:BX19)</f>
        <v>-26000000</v>
      </c>
      <c r="BZ19" s="564"/>
      <c r="CA19" s="229"/>
      <c r="CB19" s="229"/>
      <c r="CC19" s="229"/>
      <c r="CD19" s="256" t="e">
        <f t="shared" ref="CD19:CD23" ca="1" si="11">SUM(INDEX(AC19:BX19, , 1):INDEX(AC19:BX19, ,MATCH($CD$4, $E$3:$BX$3,0) ))</f>
        <v>#N/A</v>
      </c>
      <c r="CE19" s="564"/>
    </row>
    <row r="20" spans="2:83" ht="15.95" outlineLevel="1">
      <c r="B20" s="569"/>
      <c r="C20" s="257" t="s">
        <v>198</v>
      </c>
      <c r="D20" s="258" t="s">
        <v>191</v>
      </c>
      <c r="E20" s="259"/>
      <c r="F20" s="259"/>
      <c r="G20" s="259"/>
      <c r="H20" s="259"/>
      <c r="I20" s="259"/>
      <c r="J20" s="259">
        <f>-Businessplan_prodej!F10</f>
        <v>-100000</v>
      </c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  <c r="AP20" s="259"/>
      <c r="AQ20" s="259"/>
      <c r="AR20" s="259"/>
      <c r="AS20" s="259"/>
      <c r="AT20" s="259"/>
      <c r="AU20" s="259"/>
      <c r="AV20" s="259"/>
      <c r="AW20" s="259"/>
      <c r="AX20" s="259"/>
      <c r="AY20" s="259"/>
      <c r="AZ20" s="259"/>
      <c r="BA20" s="259"/>
      <c r="BB20" s="259"/>
      <c r="BC20" s="259"/>
      <c r="BD20" s="259"/>
      <c r="BE20" s="259"/>
      <c r="BF20" s="259"/>
      <c r="BG20" s="259"/>
      <c r="BH20" s="259"/>
      <c r="BI20" s="259"/>
      <c r="BJ20" s="259"/>
      <c r="BK20" s="259"/>
      <c r="BL20" s="259"/>
      <c r="BM20" s="259"/>
      <c r="BN20" s="259"/>
      <c r="BO20" s="259"/>
      <c r="BP20" s="259"/>
      <c r="BQ20" s="259"/>
      <c r="BR20" s="259"/>
      <c r="BS20" s="259"/>
      <c r="BT20" s="259"/>
      <c r="BU20" s="259"/>
      <c r="BV20" s="259"/>
      <c r="BW20" s="259"/>
      <c r="BX20" s="259"/>
      <c r="BY20" s="260">
        <f t="shared" si="10"/>
        <v>-100000</v>
      </c>
      <c r="BZ20" s="564"/>
      <c r="CA20" s="229"/>
      <c r="CB20" s="229"/>
      <c r="CC20" s="229"/>
      <c r="CD20" s="256" t="e">
        <f t="shared" ca="1" si="11"/>
        <v>#N/A</v>
      </c>
      <c r="CE20" s="564"/>
    </row>
    <row r="21" spans="2:83" ht="15.95" outlineLevel="1">
      <c r="B21" s="569"/>
      <c r="C21" s="257" t="s">
        <v>199</v>
      </c>
      <c r="D21" s="258" t="s">
        <v>191</v>
      </c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>
        <f>-252000*1.21</f>
        <v>-304920</v>
      </c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60">
        <f t="shared" si="10"/>
        <v>-304920</v>
      </c>
      <c r="BZ21" s="564"/>
      <c r="CA21" s="229"/>
      <c r="CB21" s="229"/>
      <c r="CC21" s="229"/>
      <c r="CD21" s="256" t="e">
        <f t="shared" ca="1" si="11"/>
        <v>#N/A</v>
      </c>
      <c r="CE21" s="564"/>
    </row>
    <row r="22" spans="2:83" ht="15.95" outlineLevel="1">
      <c r="B22" s="569"/>
      <c r="C22" s="257" t="s">
        <v>200</v>
      </c>
      <c r="D22" s="258" t="s">
        <v>191</v>
      </c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>
        <f>-450000*1.21</f>
        <v>-544500</v>
      </c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59"/>
      <c r="BC22" s="259"/>
      <c r="BD22" s="259"/>
      <c r="BE22" s="259"/>
      <c r="BF22" s="259"/>
      <c r="BG22" s="259"/>
      <c r="BH22" s="259"/>
      <c r="BI22" s="259"/>
      <c r="BJ22" s="259"/>
      <c r="BK22" s="259"/>
      <c r="BL22" s="259"/>
      <c r="BM22" s="259"/>
      <c r="BN22" s="259"/>
      <c r="BO22" s="259"/>
      <c r="BP22" s="259"/>
      <c r="BQ22" s="259"/>
      <c r="BR22" s="259"/>
      <c r="BS22" s="259"/>
      <c r="BT22" s="259"/>
      <c r="BU22" s="259"/>
      <c r="BV22" s="259"/>
      <c r="BW22" s="259"/>
      <c r="BX22" s="259"/>
      <c r="BY22" s="260">
        <f t="shared" si="10"/>
        <v>-544500</v>
      </c>
      <c r="BZ22" s="564"/>
      <c r="CA22" s="229"/>
      <c r="CB22" s="229"/>
      <c r="CC22" s="229"/>
      <c r="CD22" s="256" t="e">
        <f t="shared" ca="1" si="11"/>
        <v>#N/A</v>
      </c>
      <c r="CE22" s="564"/>
    </row>
    <row r="23" spans="2:83" ht="15.95" outlineLevel="1">
      <c r="B23" s="569"/>
      <c r="C23" s="257" t="s">
        <v>201</v>
      </c>
      <c r="D23" s="261" t="s">
        <v>191</v>
      </c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259"/>
      <c r="AU23" s="259"/>
      <c r="AV23" s="259"/>
      <c r="AW23" s="259"/>
      <c r="AX23" s="259"/>
      <c r="AY23" s="259"/>
      <c r="AZ23" s="259"/>
      <c r="BA23" s="259"/>
      <c r="BB23" s="259"/>
      <c r="BC23" s="259"/>
      <c r="BD23" s="259"/>
      <c r="BE23" s="259"/>
      <c r="BF23" s="259"/>
      <c r="BG23" s="259"/>
      <c r="BH23" s="259"/>
      <c r="BI23" s="259"/>
      <c r="BJ23" s="259"/>
      <c r="BK23" s="259"/>
      <c r="BL23" s="259"/>
      <c r="BM23" s="259"/>
      <c r="BN23" s="259"/>
      <c r="BO23" s="259"/>
      <c r="BP23" s="259"/>
      <c r="BQ23" s="259"/>
      <c r="BR23" s="259"/>
      <c r="BS23" s="259"/>
      <c r="BT23" s="259"/>
      <c r="BU23" s="259"/>
      <c r="BV23" s="259"/>
      <c r="BW23" s="259"/>
      <c r="BX23" s="259"/>
      <c r="BY23" s="260">
        <f t="shared" si="10"/>
        <v>0</v>
      </c>
      <c r="BZ23" s="564"/>
      <c r="CA23" s="229"/>
      <c r="CB23" s="229"/>
      <c r="CC23" s="229"/>
      <c r="CD23" s="256" t="e">
        <f t="shared" ca="1" si="11"/>
        <v>#N/A</v>
      </c>
      <c r="CE23" s="564"/>
    </row>
    <row r="24" spans="2:83" ht="15.95">
      <c r="B24" s="569"/>
      <c r="C24" s="252" t="s">
        <v>202</v>
      </c>
      <c r="D24" s="253"/>
      <c r="E24" s="254">
        <f t="shared" ref="E24:BY24" si="12">SUM(E25:E27)</f>
        <v>0</v>
      </c>
      <c r="F24" s="254">
        <f t="shared" si="12"/>
        <v>0</v>
      </c>
      <c r="G24" s="254">
        <f t="shared" si="12"/>
        <v>0</v>
      </c>
      <c r="H24" s="254">
        <f t="shared" si="12"/>
        <v>0</v>
      </c>
      <c r="I24" s="254">
        <f t="shared" si="12"/>
        <v>0</v>
      </c>
      <c r="J24" s="254">
        <f t="shared" si="12"/>
        <v>0</v>
      </c>
      <c r="K24" s="254">
        <f t="shared" si="12"/>
        <v>0</v>
      </c>
      <c r="L24" s="254">
        <f t="shared" si="12"/>
        <v>0</v>
      </c>
      <c r="M24" s="254">
        <f t="shared" si="12"/>
        <v>0</v>
      </c>
      <c r="N24" s="254">
        <f t="shared" si="12"/>
        <v>0</v>
      </c>
      <c r="O24" s="254">
        <f t="shared" si="12"/>
        <v>0</v>
      </c>
      <c r="P24" s="254">
        <f t="shared" si="12"/>
        <v>0</v>
      </c>
      <c r="Q24" s="254">
        <f t="shared" si="12"/>
        <v>0</v>
      </c>
      <c r="R24" s="254">
        <f t="shared" si="12"/>
        <v>0</v>
      </c>
      <c r="S24" s="254">
        <f t="shared" si="12"/>
        <v>0</v>
      </c>
      <c r="T24" s="254">
        <f t="shared" si="12"/>
        <v>-280000</v>
      </c>
      <c r="U24" s="254">
        <f t="shared" si="12"/>
        <v>0</v>
      </c>
      <c r="V24" s="254">
        <f t="shared" si="12"/>
        <v>-400000</v>
      </c>
      <c r="W24" s="254">
        <f t="shared" si="12"/>
        <v>-810000</v>
      </c>
      <c r="X24" s="254">
        <f t="shared" si="12"/>
        <v>0</v>
      </c>
      <c r="Y24" s="254">
        <f t="shared" si="12"/>
        <v>-550000</v>
      </c>
      <c r="Z24" s="254">
        <f t="shared" si="12"/>
        <v>-430000</v>
      </c>
      <c r="AA24" s="254">
        <f t="shared" si="12"/>
        <v>0</v>
      </c>
      <c r="AB24" s="254">
        <f t="shared" si="12"/>
        <v>0</v>
      </c>
      <c r="AC24" s="254">
        <f t="shared" si="12"/>
        <v>0</v>
      </c>
      <c r="AD24" s="254">
        <f t="shared" si="12"/>
        <v>0</v>
      </c>
      <c r="AE24" s="254">
        <f t="shared" si="12"/>
        <v>0</v>
      </c>
      <c r="AF24" s="254">
        <f t="shared" si="12"/>
        <v>0</v>
      </c>
      <c r="AG24" s="254">
        <f t="shared" si="12"/>
        <v>0</v>
      </c>
      <c r="AH24" s="254">
        <f t="shared" si="12"/>
        <v>0</v>
      </c>
      <c r="AI24" s="254">
        <f t="shared" si="12"/>
        <v>0</v>
      </c>
      <c r="AJ24" s="254">
        <f t="shared" si="12"/>
        <v>0</v>
      </c>
      <c r="AK24" s="254">
        <f t="shared" si="12"/>
        <v>0</v>
      </c>
      <c r="AL24" s="254">
        <f t="shared" si="12"/>
        <v>0</v>
      </c>
      <c r="AM24" s="254">
        <f t="shared" si="12"/>
        <v>0</v>
      </c>
      <c r="AN24" s="254">
        <f t="shared" si="12"/>
        <v>0</v>
      </c>
      <c r="AO24" s="254">
        <f t="shared" si="12"/>
        <v>0</v>
      </c>
      <c r="AP24" s="254">
        <f t="shared" si="12"/>
        <v>0</v>
      </c>
      <c r="AQ24" s="254">
        <f t="shared" si="12"/>
        <v>0</v>
      </c>
      <c r="AR24" s="254">
        <f t="shared" si="12"/>
        <v>0</v>
      </c>
      <c r="AS24" s="254">
        <f t="shared" si="12"/>
        <v>0</v>
      </c>
      <c r="AT24" s="254">
        <f t="shared" si="12"/>
        <v>0</v>
      </c>
      <c r="AU24" s="254">
        <f t="shared" si="12"/>
        <v>0</v>
      </c>
      <c r="AV24" s="254">
        <f t="shared" si="12"/>
        <v>0</v>
      </c>
      <c r="AW24" s="254">
        <f t="shared" si="12"/>
        <v>0</v>
      </c>
      <c r="AX24" s="254">
        <f t="shared" si="12"/>
        <v>0</v>
      </c>
      <c r="AY24" s="254">
        <f t="shared" si="12"/>
        <v>0</v>
      </c>
      <c r="AZ24" s="254">
        <f t="shared" si="12"/>
        <v>0</v>
      </c>
      <c r="BA24" s="254">
        <f t="shared" si="12"/>
        <v>0</v>
      </c>
      <c r="BB24" s="254">
        <f t="shared" si="12"/>
        <v>0</v>
      </c>
      <c r="BC24" s="254">
        <f t="shared" si="12"/>
        <v>0</v>
      </c>
      <c r="BD24" s="254">
        <f t="shared" si="12"/>
        <v>0</v>
      </c>
      <c r="BE24" s="254">
        <f t="shared" si="12"/>
        <v>0</v>
      </c>
      <c r="BF24" s="254">
        <f t="shared" si="12"/>
        <v>0</v>
      </c>
      <c r="BG24" s="254">
        <f t="shared" si="12"/>
        <v>0</v>
      </c>
      <c r="BH24" s="254">
        <f t="shared" si="12"/>
        <v>0</v>
      </c>
      <c r="BI24" s="254">
        <f t="shared" si="12"/>
        <v>0</v>
      </c>
      <c r="BJ24" s="254">
        <f t="shared" si="12"/>
        <v>0</v>
      </c>
      <c r="BK24" s="254">
        <f t="shared" si="12"/>
        <v>0</v>
      </c>
      <c r="BL24" s="254">
        <f t="shared" si="12"/>
        <v>0</v>
      </c>
      <c r="BM24" s="254">
        <f t="shared" si="12"/>
        <v>0</v>
      </c>
      <c r="BN24" s="254">
        <f t="shared" si="12"/>
        <v>0</v>
      </c>
      <c r="BO24" s="254">
        <f t="shared" si="12"/>
        <v>0</v>
      </c>
      <c r="BP24" s="254">
        <f t="shared" si="12"/>
        <v>0</v>
      </c>
      <c r="BQ24" s="254">
        <f t="shared" si="12"/>
        <v>0</v>
      </c>
      <c r="BR24" s="254">
        <f t="shared" si="12"/>
        <v>0</v>
      </c>
      <c r="BS24" s="254">
        <f t="shared" si="12"/>
        <v>0</v>
      </c>
      <c r="BT24" s="254">
        <f t="shared" si="12"/>
        <v>0</v>
      </c>
      <c r="BU24" s="254">
        <f t="shared" si="12"/>
        <v>0</v>
      </c>
      <c r="BV24" s="254">
        <f t="shared" si="12"/>
        <v>0</v>
      </c>
      <c r="BW24" s="254">
        <f t="shared" si="12"/>
        <v>0</v>
      </c>
      <c r="BX24" s="254">
        <f t="shared" si="12"/>
        <v>0</v>
      </c>
      <c r="BY24" s="255">
        <f t="shared" si="12"/>
        <v>-1970000</v>
      </c>
      <c r="BZ24" s="564"/>
      <c r="CA24" s="229"/>
      <c r="CB24" s="229"/>
      <c r="CC24" s="229"/>
      <c r="CD24" s="256" t="e">
        <f t="array" aca="1" ref="CD24" ca="1">SUM(INDEX(E24:BX24, , 1):INDEX(E24:BX24, ,MATCH($CD$4, $E$3:$BX$3,0) ))</f>
        <v>#N/A</v>
      </c>
      <c r="CE24" s="564"/>
    </row>
    <row r="25" spans="2:83" ht="15.95" outlineLevel="1">
      <c r="B25" s="569"/>
      <c r="C25" s="257" t="s">
        <v>203</v>
      </c>
      <c r="D25" s="261" t="s">
        <v>191</v>
      </c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345"/>
      <c r="R25" s="345"/>
      <c r="S25" s="345"/>
      <c r="T25" s="345">
        <f>-280000</f>
        <v>-280000</v>
      </c>
      <c r="U25" s="345"/>
      <c r="V25" s="345">
        <f>-400000</f>
        <v>-400000</v>
      </c>
      <c r="W25" s="345">
        <f>-810000</f>
        <v>-810000</v>
      </c>
      <c r="X25" s="345"/>
      <c r="Y25" s="345">
        <f>-300000</f>
        <v>-300000</v>
      </c>
      <c r="Z25" s="345">
        <f>-180000</f>
        <v>-180000</v>
      </c>
      <c r="AA25" s="345"/>
      <c r="AB25" s="345"/>
      <c r="AC25" s="345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4">
        <f>SUM(E25:BX25)</f>
        <v>-1970000</v>
      </c>
      <c r="BZ25" s="564"/>
      <c r="CA25" s="346"/>
      <c r="CB25" s="229"/>
      <c r="CC25" s="229"/>
      <c r="CD25" s="256" t="e">
        <f t="array" aca="1" ref="CD25" ca="1">SUM(INDEX(AC25:BX25, , 1):INDEX(AC25:BX25, ,MATCH(#REF!, $E$3:$BX$3,0) ))</f>
        <v>#REF!</v>
      </c>
      <c r="CE25" s="564"/>
    </row>
    <row r="26" spans="2:83" ht="15.95" outlineLevel="1">
      <c r="B26" s="569"/>
      <c r="C26" s="257" t="str">
        <f>Businessplan_prodej!B21</f>
        <v>ZSPD</v>
      </c>
      <c r="D26" s="258" t="s">
        <v>191</v>
      </c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>
        <f>-Businessplan_prodej!$F$21/2</f>
        <v>-250000</v>
      </c>
      <c r="Z26" s="262">
        <f>-Businessplan_prodej!$F$21/2</f>
        <v>-250000</v>
      </c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4"/>
      <c r="BZ26" s="564"/>
      <c r="CA26" s="248"/>
      <c r="CB26" s="229"/>
      <c r="CC26" s="229"/>
      <c r="CD26" s="256"/>
      <c r="CE26" s="564"/>
    </row>
    <row r="27" spans="2:83" ht="15.95" outlineLevel="1">
      <c r="B27" s="569"/>
      <c r="C27" s="257" t="s">
        <v>204</v>
      </c>
      <c r="D27" s="261" t="s">
        <v>191</v>
      </c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4">
        <f>SUM(E27:BX27)</f>
        <v>0</v>
      </c>
      <c r="BZ27" s="564"/>
      <c r="CA27" s="248"/>
      <c r="CB27" s="229"/>
      <c r="CC27" s="229"/>
      <c r="CD27" s="256" t="e">
        <f t="array" aca="1" ref="CD27" ca="1">SUM(INDEX(AC27:BX27, , 1):INDEX(AC27:BX27, ,MATCH(#REF!, $E$3:$BX$3,0) ))</f>
        <v>#REF!</v>
      </c>
      <c r="CE27" s="564"/>
    </row>
    <row r="28" spans="2:83" ht="15.95">
      <c r="B28" s="569"/>
      <c r="C28" s="252" t="s">
        <v>205</v>
      </c>
      <c r="D28" s="253"/>
      <c r="E28" s="254">
        <f t="shared" ref="E28:BX28" si="13">SUM(E29:E35)</f>
        <v>0</v>
      </c>
      <c r="F28" s="254">
        <f t="shared" si="13"/>
        <v>0</v>
      </c>
      <c r="G28" s="254">
        <f t="shared" si="13"/>
        <v>0</v>
      </c>
      <c r="H28" s="254">
        <f t="shared" si="13"/>
        <v>0</v>
      </c>
      <c r="I28" s="254">
        <f t="shared" si="13"/>
        <v>0</v>
      </c>
      <c r="J28" s="254">
        <f t="shared" si="13"/>
        <v>0</v>
      </c>
      <c r="K28" s="254">
        <f t="shared" si="13"/>
        <v>0</v>
      </c>
      <c r="L28" s="254">
        <f t="shared" si="13"/>
        <v>0</v>
      </c>
      <c r="M28" s="254">
        <f t="shared" si="13"/>
        <v>0</v>
      </c>
      <c r="N28" s="254">
        <f t="shared" si="13"/>
        <v>0</v>
      </c>
      <c r="O28" s="254">
        <f t="shared" si="13"/>
        <v>0</v>
      </c>
      <c r="P28" s="254">
        <f t="shared" si="13"/>
        <v>0</v>
      </c>
      <c r="Q28" s="254">
        <f t="shared" si="13"/>
        <v>0</v>
      </c>
      <c r="R28" s="254">
        <f t="shared" si="13"/>
        <v>0</v>
      </c>
      <c r="S28" s="254">
        <f t="shared" si="13"/>
        <v>0</v>
      </c>
      <c r="T28" s="254">
        <f t="shared" si="13"/>
        <v>-102795</v>
      </c>
      <c r="U28" s="254">
        <f t="shared" si="13"/>
        <v>0</v>
      </c>
      <c r="V28" s="254">
        <f t="shared" si="13"/>
        <v>0</v>
      </c>
      <c r="W28" s="254">
        <f t="shared" si="13"/>
        <v>-300000</v>
      </c>
      <c r="X28" s="254">
        <f t="shared" si="13"/>
        <v>-250000</v>
      </c>
      <c r="Y28" s="254">
        <f t="shared" si="13"/>
        <v>0</v>
      </c>
      <c r="Z28" s="254">
        <f t="shared" si="13"/>
        <v>0</v>
      </c>
      <c r="AA28" s="254">
        <f t="shared" si="13"/>
        <v>-7671580.5350000001</v>
      </c>
      <c r="AB28" s="254">
        <f t="shared" si="13"/>
        <v>-7671580.5350000001</v>
      </c>
      <c r="AC28" s="254">
        <f t="shared" si="13"/>
        <v>-7774375.5350000001</v>
      </c>
      <c r="AD28" s="254">
        <f t="shared" si="13"/>
        <v>-7671580.5350000001</v>
      </c>
      <c r="AE28" s="254">
        <f t="shared" si="13"/>
        <v>-7671580.5350000001</v>
      </c>
      <c r="AF28" s="254">
        <f t="shared" si="13"/>
        <v>-7671580.5350000001</v>
      </c>
      <c r="AG28" s="254">
        <f t="shared" si="13"/>
        <v>-7671580.5350000001</v>
      </c>
      <c r="AH28" s="254">
        <f t="shared" si="13"/>
        <v>-6915990.5350000001</v>
      </c>
      <c r="AI28" s="254">
        <f t="shared" si="13"/>
        <v>0</v>
      </c>
      <c r="AJ28" s="254">
        <f t="shared" si="13"/>
        <v>0</v>
      </c>
      <c r="AK28" s="254">
        <f t="shared" si="13"/>
        <v>0</v>
      </c>
      <c r="AL28" s="254">
        <f t="shared" si="13"/>
        <v>0</v>
      </c>
      <c r="AM28" s="254">
        <f t="shared" si="13"/>
        <v>0</v>
      </c>
      <c r="AN28" s="254">
        <f t="shared" si="13"/>
        <v>0</v>
      </c>
      <c r="AO28" s="254">
        <f t="shared" si="13"/>
        <v>0</v>
      </c>
      <c r="AP28" s="254">
        <f t="shared" si="13"/>
        <v>0</v>
      </c>
      <c r="AQ28" s="254">
        <f t="shared" si="13"/>
        <v>0</v>
      </c>
      <c r="AR28" s="254">
        <f t="shared" si="13"/>
        <v>0</v>
      </c>
      <c r="AS28" s="254">
        <f t="shared" si="13"/>
        <v>0</v>
      </c>
      <c r="AT28" s="254">
        <f t="shared" si="13"/>
        <v>0</v>
      </c>
      <c r="AU28" s="254">
        <f t="shared" si="13"/>
        <v>0</v>
      </c>
      <c r="AV28" s="254">
        <f t="shared" si="13"/>
        <v>0</v>
      </c>
      <c r="AW28" s="254">
        <f t="shared" si="13"/>
        <v>0</v>
      </c>
      <c r="AX28" s="254">
        <f t="shared" si="13"/>
        <v>0</v>
      </c>
      <c r="AY28" s="254">
        <f t="shared" si="13"/>
        <v>0</v>
      </c>
      <c r="AZ28" s="254">
        <f t="shared" si="13"/>
        <v>0</v>
      </c>
      <c r="BA28" s="254">
        <f t="shared" si="13"/>
        <v>0</v>
      </c>
      <c r="BB28" s="254">
        <f t="shared" si="13"/>
        <v>0</v>
      </c>
      <c r="BC28" s="254">
        <f t="shared" si="13"/>
        <v>0</v>
      </c>
      <c r="BD28" s="254">
        <f t="shared" si="13"/>
        <v>0</v>
      </c>
      <c r="BE28" s="254">
        <f t="shared" si="13"/>
        <v>0</v>
      </c>
      <c r="BF28" s="254">
        <f t="shared" si="13"/>
        <v>0</v>
      </c>
      <c r="BG28" s="254">
        <f t="shared" si="13"/>
        <v>0</v>
      </c>
      <c r="BH28" s="254">
        <f t="shared" si="13"/>
        <v>0</v>
      </c>
      <c r="BI28" s="254">
        <f t="shared" si="13"/>
        <v>0</v>
      </c>
      <c r="BJ28" s="254">
        <f t="shared" si="13"/>
        <v>0</v>
      </c>
      <c r="BK28" s="254">
        <f t="shared" si="13"/>
        <v>0</v>
      </c>
      <c r="BL28" s="254">
        <f t="shared" si="13"/>
        <v>0</v>
      </c>
      <c r="BM28" s="254">
        <f t="shared" si="13"/>
        <v>0</v>
      </c>
      <c r="BN28" s="254">
        <f t="shared" si="13"/>
        <v>0</v>
      </c>
      <c r="BO28" s="254">
        <f t="shared" si="13"/>
        <v>0</v>
      </c>
      <c r="BP28" s="254">
        <f t="shared" si="13"/>
        <v>0</v>
      </c>
      <c r="BQ28" s="254">
        <f t="shared" si="13"/>
        <v>0</v>
      </c>
      <c r="BR28" s="254">
        <f t="shared" si="13"/>
        <v>0</v>
      </c>
      <c r="BS28" s="254">
        <f t="shared" si="13"/>
        <v>0</v>
      </c>
      <c r="BT28" s="254">
        <f t="shared" si="13"/>
        <v>0</v>
      </c>
      <c r="BU28" s="254">
        <f t="shared" si="13"/>
        <v>0</v>
      </c>
      <c r="BV28" s="254">
        <f t="shared" si="13"/>
        <v>0</v>
      </c>
      <c r="BW28" s="254">
        <f t="shared" si="13"/>
        <v>0</v>
      </c>
      <c r="BX28" s="254">
        <f t="shared" si="13"/>
        <v>0</v>
      </c>
      <c r="BY28" s="256">
        <f>SUM(BY29:BY35)</f>
        <v>-61372644.279999986</v>
      </c>
      <c r="BZ28" s="564"/>
      <c r="CA28" s="229"/>
      <c r="CB28" s="248"/>
      <c r="CC28" s="229"/>
      <c r="CD28" s="256" t="e">
        <f t="array" aca="1" ref="CD28" ca="1">SUM(INDEX(E28:BX28, , 1):INDEX(E28:BX28, ,MATCH($CD$4, $E$3:$BX$3,0) ))</f>
        <v>#N/A</v>
      </c>
      <c r="CE28" s="564"/>
    </row>
    <row r="29" spans="2:83" ht="15.95" outlineLevel="1">
      <c r="B29" s="569"/>
      <c r="C29" s="257" t="s">
        <v>206</v>
      </c>
      <c r="D29" s="258" t="s">
        <v>191</v>
      </c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347">
        <f>(-Businessplan_prodej!$C$40+Businessplan_prodej!$F$38)/8</f>
        <v>-7671580.5350000001</v>
      </c>
      <c r="AB29" s="259">
        <f>(-Businessplan_prodej!$C$40+Businessplan_prodej!$F$38)/8</f>
        <v>-7671580.5350000001</v>
      </c>
      <c r="AC29" s="259">
        <f>(-Businessplan_prodej!$C$40+Businessplan_prodej!$F$38)/8</f>
        <v>-7671580.5350000001</v>
      </c>
      <c r="AD29" s="259">
        <f>(-Businessplan_prodej!$C$40+Businessplan_prodej!$F$38)/8</f>
        <v>-7671580.5350000001</v>
      </c>
      <c r="AE29" s="259">
        <f>(-Businessplan_prodej!$C$40+Businessplan_prodej!$F$38)/8</f>
        <v>-7671580.5350000001</v>
      </c>
      <c r="AF29" s="259">
        <f>(-Businessplan_prodej!$C$40+Businessplan_prodej!$F$38)/8</f>
        <v>-7671580.5350000001</v>
      </c>
      <c r="AG29" s="259">
        <f>(-Businessplan_prodej!$C$40+Businessplan_prodej!$F$38)/8</f>
        <v>-7671580.5350000001</v>
      </c>
      <c r="AH29" s="259">
        <f>(-Businessplan_prodej!$C$40+Businessplan_prodej!$F$38)/8-SUM(E32:AH32)</f>
        <v>-6915990.5350000001</v>
      </c>
      <c r="AI29" s="259"/>
      <c r="AJ29" s="259"/>
      <c r="AK29" s="259"/>
      <c r="AL29" s="259"/>
      <c r="AM29" s="259"/>
      <c r="AN29" s="259"/>
      <c r="AO29" s="259"/>
      <c r="AP29" s="259"/>
      <c r="AQ29" s="259"/>
      <c r="AR29" s="259"/>
      <c r="AS29" s="259"/>
      <c r="AT29" s="259"/>
      <c r="AU29" s="259"/>
      <c r="AV29" s="259"/>
      <c r="AW29" s="259"/>
      <c r="AX29" s="259"/>
      <c r="AY29" s="259"/>
      <c r="AZ29" s="259"/>
      <c r="BA29" s="259"/>
      <c r="BB29" s="259"/>
      <c r="BC29" s="259"/>
      <c r="BD29" s="259"/>
      <c r="BE29" s="259"/>
      <c r="BF29" s="259"/>
      <c r="BG29" s="259"/>
      <c r="BH29" s="259"/>
      <c r="BI29" s="259"/>
      <c r="BJ29" s="259"/>
      <c r="BK29" s="259"/>
      <c r="BL29" s="259"/>
      <c r="BM29" s="259"/>
      <c r="BN29" s="259"/>
      <c r="BO29" s="259"/>
      <c r="BP29" s="259"/>
      <c r="BQ29" s="259"/>
      <c r="BR29" s="259"/>
      <c r="BS29" s="259"/>
      <c r="BT29" s="259"/>
      <c r="BU29" s="259"/>
      <c r="BV29" s="259"/>
      <c r="BW29" s="259"/>
      <c r="BX29" s="265"/>
      <c r="BY29" s="266">
        <f t="shared" ref="BY29:BY35" si="14">SUM(E29:BX29)</f>
        <v>-60617054.279999986</v>
      </c>
      <c r="BZ29" s="564"/>
      <c r="CA29" s="229"/>
      <c r="CB29" s="229"/>
      <c r="CC29" s="229"/>
      <c r="CD29" s="256" t="e">
        <f t="shared" ref="CD29:CD35" ca="1" si="15">SUM(INDEX(AC29:BX29, , 1):INDEX(AC29:BX29, ,MATCH(#REF!, $E$3:$BX$3,0) ))</f>
        <v>#REF!</v>
      </c>
      <c r="CE29" s="564"/>
    </row>
    <row r="30" spans="2:83" ht="15.95" outlineLevel="1">
      <c r="B30" s="569"/>
      <c r="C30" s="257" t="s">
        <v>207</v>
      </c>
      <c r="D30" s="258" t="s">
        <v>191</v>
      </c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259"/>
      <c r="BS30" s="259"/>
      <c r="BT30" s="259"/>
      <c r="BU30" s="259"/>
      <c r="BV30" s="259"/>
      <c r="BW30" s="259"/>
      <c r="BX30" s="265"/>
      <c r="BY30" s="267">
        <f t="shared" si="14"/>
        <v>0</v>
      </c>
      <c r="BZ30" s="564"/>
      <c r="CA30" s="229"/>
      <c r="CB30" s="229"/>
      <c r="CC30" s="229"/>
      <c r="CD30" s="256" t="e">
        <f t="shared" ca="1" si="15"/>
        <v>#REF!</v>
      </c>
      <c r="CE30" s="564"/>
    </row>
    <row r="31" spans="2:83" ht="15.95" outlineLevel="1">
      <c r="B31" s="569"/>
      <c r="C31" s="257" t="s">
        <v>208</v>
      </c>
      <c r="D31" s="258" t="s">
        <v>191</v>
      </c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59"/>
      <c r="AW31" s="259"/>
      <c r="AX31" s="259"/>
      <c r="AY31" s="259"/>
      <c r="AZ31" s="259"/>
      <c r="BA31" s="259"/>
      <c r="BB31" s="259"/>
      <c r="BC31" s="259"/>
      <c r="BD31" s="259"/>
      <c r="BE31" s="259"/>
      <c r="BF31" s="259"/>
      <c r="BG31" s="259"/>
      <c r="BH31" s="259"/>
      <c r="BI31" s="259"/>
      <c r="BJ31" s="259"/>
      <c r="BK31" s="259"/>
      <c r="BL31" s="259"/>
      <c r="BM31" s="259"/>
      <c r="BN31" s="259"/>
      <c r="BO31" s="259"/>
      <c r="BP31" s="259"/>
      <c r="BQ31" s="259"/>
      <c r="BR31" s="259"/>
      <c r="BS31" s="259"/>
      <c r="BT31" s="259"/>
      <c r="BU31" s="259"/>
      <c r="BV31" s="259"/>
      <c r="BW31" s="259"/>
      <c r="BX31" s="265"/>
      <c r="BY31" s="267">
        <f t="shared" si="14"/>
        <v>0</v>
      </c>
      <c r="BZ31" s="564"/>
      <c r="CA31" s="229"/>
      <c r="CB31" s="229"/>
      <c r="CC31" s="229"/>
      <c r="CD31" s="256" t="e">
        <f t="shared" ca="1" si="15"/>
        <v>#REF!</v>
      </c>
      <c r="CE31" s="564"/>
    </row>
    <row r="32" spans="2:83" ht="15.95" outlineLevel="1">
      <c r="B32" s="569"/>
      <c r="C32" s="257" t="s">
        <v>209</v>
      </c>
      <c r="D32" s="258" t="s">
        <v>191</v>
      </c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>
        <f>-9625-61600-19250-12320</f>
        <v>-102795</v>
      </c>
      <c r="U32" s="259"/>
      <c r="V32" s="259"/>
      <c r="W32" s="348">
        <f>-300000</f>
        <v>-300000</v>
      </c>
      <c r="X32" s="348">
        <v>-250000</v>
      </c>
      <c r="Y32" s="259"/>
      <c r="Z32" s="259"/>
      <c r="AA32" s="259"/>
      <c r="AB32" s="259"/>
      <c r="AC32" s="259">
        <f>-9625-61600-19250-12320</f>
        <v>-102795</v>
      </c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  <c r="AP32" s="259"/>
      <c r="AQ32" s="259"/>
      <c r="AR32" s="259"/>
      <c r="AS32" s="259"/>
      <c r="AT32" s="259"/>
      <c r="AU32" s="259"/>
      <c r="AV32" s="259"/>
      <c r="AW32" s="259"/>
      <c r="AX32" s="259"/>
      <c r="AY32" s="259"/>
      <c r="AZ32" s="259"/>
      <c r="BA32" s="259"/>
      <c r="BB32" s="259"/>
      <c r="BC32" s="259"/>
      <c r="BD32" s="259"/>
      <c r="BE32" s="259"/>
      <c r="BF32" s="259"/>
      <c r="BG32" s="259"/>
      <c r="BH32" s="259"/>
      <c r="BI32" s="259"/>
      <c r="BJ32" s="259"/>
      <c r="BK32" s="259"/>
      <c r="BL32" s="259"/>
      <c r="BM32" s="259"/>
      <c r="BN32" s="259"/>
      <c r="BO32" s="259"/>
      <c r="BP32" s="259"/>
      <c r="BQ32" s="259"/>
      <c r="BR32" s="259"/>
      <c r="BS32" s="259"/>
      <c r="BT32" s="259"/>
      <c r="BU32" s="259"/>
      <c r="BV32" s="259"/>
      <c r="BW32" s="259"/>
      <c r="BX32" s="265"/>
      <c r="BY32" s="267">
        <f t="shared" si="14"/>
        <v>-755590</v>
      </c>
      <c r="BZ32" s="564"/>
      <c r="CA32" s="229"/>
      <c r="CB32" s="229"/>
      <c r="CC32" s="229"/>
      <c r="CD32" s="256" t="e">
        <f t="shared" ca="1" si="15"/>
        <v>#REF!</v>
      </c>
      <c r="CE32" s="564"/>
    </row>
    <row r="33" spans="2:83" ht="15.95" outlineLevel="1">
      <c r="B33" s="569"/>
      <c r="C33" s="257" t="s">
        <v>210</v>
      </c>
      <c r="D33" s="258" t="s">
        <v>191</v>
      </c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  <c r="AP33" s="259"/>
      <c r="AQ33" s="259"/>
      <c r="AR33" s="259"/>
      <c r="AS33" s="259"/>
      <c r="AT33" s="259"/>
      <c r="AU33" s="259"/>
      <c r="AV33" s="259"/>
      <c r="AW33" s="259"/>
      <c r="AX33" s="259"/>
      <c r="AY33" s="259"/>
      <c r="AZ33" s="259"/>
      <c r="BA33" s="259"/>
      <c r="BB33" s="259"/>
      <c r="BC33" s="259"/>
      <c r="BD33" s="259"/>
      <c r="BE33" s="259"/>
      <c r="BF33" s="259"/>
      <c r="BG33" s="259"/>
      <c r="BH33" s="259"/>
      <c r="BI33" s="259"/>
      <c r="BJ33" s="259"/>
      <c r="BK33" s="259"/>
      <c r="BL33" s="259"/>
      <c r="BM33" s="259"/>
      <c r="BN33" s="259"/>
      <c r="BO33" s="259"/>
      <c r="BP33" s="259"/>
      <c r="BQ33" s="259"/>
      <c r="BR33" s="259"/>
      <c r="BS33" s="259"/>
      <c r="BT33" s="259"/>
      <c r="BU33" s="259"/>
      <c r="BV33" s="259"/>
      <c r="BW33" s="259"/>
      <c r="BX33" s="265"/>
      <c r="BY33" s="267">
        <f t="shared" si="14"/>
        <v>0</v>
      </c>
      <c r="BZ33" s="564"/>
      <c r="CA33" s="229"/>
      <c r="CB33" s="229"/>
      <c r="CC33" s="229"/>
      <c r="CD33" s="256" t="e">
        <f t="shared" ca="1" si="15"/>
        <v>#REF!</v>
      </c>
      <c r="CE33" s="564"/>
    </row>
    <row r="34" spans="2:83" ht="15.95" outlineLevel="1">
      <c r="B34" s="569"/>
      <c r="C34" s="268" t="s">
        <v>211</v>
      </c>
      <c r="D34" s="258" t="s">
        <v>191</v>
      </c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65"/>
      <c r="BY34" s="267">
        <f t="shared" si="14"/>
        <v>0</v>
      </c>
      <c r="BZ34" s="564"/>
      <c r="CA34" s="229"/>
      <c r="CB34" s="229"/>
      <c r="CC34" s="229"/>
      <c r="CD34" s="256" t="e">
        <f t="shared" ca="1" si="15"/>
        <v>#REF!</v>
      </c>
      <c r="CE34" s="564"/>
    </row>
    <row r="35" spans="2:83" ht="15.95" outlineLevel="1">
      <c r="B35" s="569"/>
      <c r="C35" s="257" t="s">
        <v>212</v>
      </c>
      <c r="D35" s="261" t="s">
        <v>191</v>
      </c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59"/>
      <c r="T35" s="259"/>
      <c r="U35" s="259"/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  <c r="AP35" s="259"/>
      <c r="AQ35" s="259"/>
      <c r="AR35" s="259"/>
      <c r="AS35" s="259"/>
      <c r="AT35" s="259"/>
      <c r="AU35" s="259"/>
      <c r="AV35" s="259"/>
      <c r="AW35" s="259"/>
      <c r="AX35" s="259"/>
      <c r="AY35" s="259"/>
      <c r="AZ35" s="259"/>
      <c r="BA35" s="259"/>
      <c r="BB35" s="259"/>
      <c r="BC35" s="259"/>
      <c r="BD35" s="259"/>
      <c r="BE35" s="259"/>
      <c r="BF35" s="259"/>
      <c r="BG35" s="259"/>
      <c r="BH35" s="259"/>
      <c r="BI35" s="259"/>
      <c r="BJ35" s="259"/>
      <c r="BK35" s="259"/>
      <c r="BL35" s="259"/>
      <c r="BM35" s="259"/>
      <c r="BN35" s="259"/>
      <c r="BO35" s="259"/>
      <c r="BP35" s="259"/>
      <c r="BQ35" s="259"/>
      <c r="BR35" s="259"/>
      <c r="BS35" s="259"/>
      <c r="BT35" s="259"/>
      <c r="BU35" s="259"/>
      <c r="BV35" s="259"/>
      <c r="BW35" s="259"/>
      <c r="BX35" s="265"/>
      <c r="BY35" s="269">
        <f t="shared" si="14"/>
        <v>0</v>
      </c>
      <c r="BZ35" s="564"/>
      <c r="CA35" s="229"/>
      <c r="CB35" s="229"/>
      <c r="CC35" s="229"/>
      <c r="CD35" s="256" t="e">
        <f t="shared" ca="1" si="15"/>
        <v>#REF!</v>
      </c>
      <c r="CE35" s="564"/>
    </row>
    <row r="36" spans="2:83" ht="15.95" collapsed="1">
      <c r="B36" s="569"/>
      <c r="C36" s="252" t="s">
        <v>213</v>
      </c>
      <c r="D36" s="253"/>
      <c r="E36" s="254">
        <f t="shared" ref="E36:BX36" si="16">SUM(E37:E38)</f>
        <v>0</v>
      </c>
      <c r="F36" s="254">
        <f t="shared" si="16"/>
        <v>0</v>
      </c>
      <c r="G36" s="254">
        <f t="shared" si="16"/>
        <v>0</v>
      </c>
      <c r="H36" s="254">
        <f t="shared" si="16"/>
        <v>0</v>
      </c>
      <c r="I36" s="254">
        <f t="shared" si="16"/>
        <v>0</v>
      </c>
      <c r="J36" s="254">
        <f t="shared" si="16"/>
        <v>0</v>
      </c>
      <c r="K36" s="254">
        <f t="shared" si="16"/>
        <v>0</v>
      </c>
      <c r="L36" s="254">
        <f t="shared" si="16"/>
        <v>0</v>
      </c>
      <c r="M36" s="254">
        <f t="shared" si="16"/>
        <v>0</v>
      </c>
      <c r="N36" s="254">
        <f t="shared" si="16"/>
        <v>0</v>
      </c>
      <c r="O36" s="254">
        <f t="shared" si="16"/>
        <v>0</v>
      </c>
      <c r="P36" s="254">
        <f t="shared" si="16"/>
        <v>0</v>
      </c>
      <c r="Q36" s="254">
        <f t="shared" si="16"/>
        <v>0</v>
      </c>
      <c r="R36" s="254">
        <f t="shared" si="16"/>
        <v>0</v>
      </c>
      <c r="S36" s="254">
        <f t="shared" si="16"/>
        <v>0</v>
      </c>
      <c r="T36" s="254">
        <f t="shared" si="16"/>
        <v>0</v>
      </c>
      <c r="U36" s="254">
        <f t="shared" si="16"/>
        <v>0</v>
      </c>
      <c r="V36" s="254">
        <f t="shared" si="16"/>
        <v>0</v>
      </c>
      <c r="W36" s="254">
        <f t="shared" si="16"/>
        <v>0</v>
      </c>
      <c r="X36" s="254">
        <f t="shared" si="16"/>
        <v>0</v>
      </c>
      <c r="Y36" s="254">
        <f t="shared" si="16"/>
        <v>0</v>
      </c>
      <c r="Z36" s="254">
        <f t="shared" si="16"/>
        <v>0</v>
      </c>
      <c r="AA36" s="254">
        <f t="shared" si="16"/>
        <v>0</v>
      </c>
      <c r="AB36" s="254">
        <f t="shared" si="16"/>
        <v>0</v>
      </c>
      <c r="AC36" s="254">
        <f t="shared" si="16"/>
        <v>0</v>
      </c>
      <c r="AD36" s="254">
        <f t="shared" si="16"/>
        <v>-1901500</v>
      </c>
      <c r="AE36" s="254">
        <f t="shared" si="16"/>
        <v>-1901500</v>
      </c>
      <c r="AF36" s="254">
        <f t="shared" si="16"/>
        <v>-1901500</v>
      </c>
      <c r="AG36" s="254">
        <f t="shared" si="16"/>
        <v>-1901500</v>
      </c>
      <c r="AH36" s="254">
        <f t="shared" si="16"/>
        <v>-1901500</v>
      </c>
      <c r="AI36" s="254">
        <f t="shared" si="16"/>
        <v>0</v>
      </c>
      <c r="AJ36" s="254">
        <f t="shared" si="16"/>
        <v>0</v>
      </c>
      <c r="AK36" s="254">
        <f t="shared" si="16"/>
        <v>0</v>
      </c>
      <c r="AL36" s="254">
        <f t="shared" si="16"/>
        <v>0</v>
      </c>
      <c r="AM36" s="254">
        <f t="shared" si="16"/>
        <v>0</v>
      </c>
      <c r="AN36" s="254">
        <f t="shared" si="16"/>
        <v>0</v>
      </c>
      <c r="AO36" s="254">
        <f t="shared" si="16"/>
        <v>0</v>
      </c>
      <c r="AP36" s="254">
        <f t="shared" si="16"/>
        <v>0</v>
      </c>
      <c r="AQ36" s="254">
        <f t="shared" si="16"/>
        <v>0</v>
      </c>
      <c r="AR36" s="254">
        <f t="shared" si="16"/>
        <v>0</v>
      </c>
      <c r="AS36" s="254">
        <f t="shared" si="16"/>
        <v>0</v>
      </c>
      <c r="AT36" s="254">
        <f t="shared" si="16"/>
        <v>0</v>
      </c>
      <c r="AU36" s="254">
        <f t="shared" si="16"/>
        <v>0</v>
      </c>
      <c r="AV36" s="254">
        <f t="shared" si="16"/>
        <v>0</v>
      </c>
      <c r="AW36" s="254">
        <f t="shared" si="16"/>
        <v>0</v>
      </c>
      <c r="AX36" s="254">
        <f t="shared" si="16"/>
        <v>0</v>
      </c>
      <c r="AY36" s="254">
        <f t="shared" si="16"/>
        <v>0</v>
      </c>
      <c r="AZ36" s="254">
        <f t="shared" si="16"/>
        <v>0</v>
      </c>
      <c r="BA36" s="254">
        <f t="shared" si="16"/>
        <v>0</v>
      </c>
      <c r="BB36" s="254">
        <f t="shared" si="16"/>
        <v>0</v>
      </c>
      <c r="BC36" s="254">
        <f t="shared" si="16"/>
        <v>0</v>
      </c>
      <c r="BD36" s="254">
        <f t="shared" si="16"/>
        <v>0</v>
      </c>
      <c r="BE36" s="254">
        <f t="shared" si="16"/>
        <v>0</v>
      </c>
      <c r="BF36" s="254">
        <f t="shared" si="16"/>
        <v>0</v>
      </c>
      <c r="BG36" s="254">
        <f t="shared" si="16"/>
        <v>0</v>
      </c>
      <c r="BH36" s="254">
        <f t="shared" si="16"/>
        <v>0</v>
      </c>
      <c r="BI36" s="254">
        <f t="shared" si="16"/>
        <v>0</v>
      </c>
      <c r="BJ36" s="254">
        <f t="shared" si="16"/>
        <v>0</v>
      </c>
      <c r="BK36" s="254">
        <f t="shared" si="16"/>
        <v>0</v>
      </c>
      <c r="BL36" s="254">
        <f t="shared" si="16"/>
        <v>0</v>
      </c>
      <c r="BM36" s="254">
        <f t="shared" si="16"/>
        <v>0</v>
      </c>
      <c r="BN36" s="254">
        <f t="shared" si="16"/>
        <v>0</v>
      </c>
      <c r="BO36" s="254">
        <f t="shared" si="16"/>
        <v>0</v>
      </c>
      <c r="BP36" s="254">
        <f t="shared" si="16"/>
        <v>0</v>
      </c>
      <c r="BQ36" s="254">
        <f t="shared" si="16"/>
        <v>0</v>
      </c>
      <c r="BR36" s="254">
        <f t="shared" si="16"/>
        <v>0</v>
      </c>
      <c r="BS36" s="254">
        <f t="shared" si="16"/>
        <v>0</v>
      </c>
      <c r="BT36" s="254">
        <f t="shared" si="16"/>
        <v>0</v>
      </c>
      <c r="BU36" s="254">
        <f t="shared" si="16"/>
        <v>0</v>
      </c>
      <c r="BV36" s="254">
        <f t="shared" si="16"/>
        <v>0</v>
      </c>
      <c r="BW36" s="254">
        <f t="shared" si="16"/>
        <v>0</v>
      </c>
      <c r="BX36" s="254">
        <f t="shared" si="16"/>
        <v>0</v>
      </c>
      <c r="BY36" s="256">
        <f>SUM(BY37:BY38)</f>
        <v>-9507500</v>
      </c>
      <c r="BZ36" s="564"/>
      <c r="CA36" s="229"/>
      <c r="CB36" s="229"/>
      <c r="CC36" s="229"/>
      <c r="CD36" s="256" t="e">
        <f t="array" aca="1" ref="CD36" ca="1">SUM(INDEX(E36:BX36, , 1):INDEX(E36:BX36, ,MATCH($CD$4, $E$3:$BX$3,0) ))</f>
        <v>#N/A</v>
      </c>
      <c r="CE36" s="564"/>
    </row>
    <row r="37" spans="2:83" ht="15.95" hidden="1" outlineLevel="1">
      <c r="B37" s="569"/>
      <c r="C37" s="257" t="s">
        <v>214</v>
      </c>
      <c r="D37" s="258" t="s">
        <v>191</v>
      </c>
      <c r="E37" s="259"/>
      <c r="F37" s="259"/>
      <c r="G37" s="259"/>
      <c r="H37" s="259"/>
      <c r="I37" s="259"/>
      <c r="J37" s="259"/>
      <c r="K37" s="259"/>
      <c r="L37" s="259"/>
      <c r="M37" s="259"/>
      <c r="N37" s="259"/>
      <c r="O37" s="259"/>
      <c r="P37" s="259"/>
      <c r="Q37" s="259"/>
      <c r="R37" s="259"/>
      <c r="S37" s="270"/>
      <c r="T37" s="259"/>
      <c r="U37" s="259"/>
      <c r="V37" s="259"/>
      <c r="W37" s="259"/>
      <c r="X37" s="259"/>
      <c r="Y37" s="259"/>
      <c r="Z37" s="259"/>
      <c r="AA37" s="259"/>
      <c r="AB37" s="259"/>
      <c r="AC37" s="259"/>
      <c r="AD37" s="259">
        <f>-Businessplan_prodej!$F$46/5</f>
        <v>-1901500</v>
      </c>
      <c r="AE37" s="259">
        <f>-Businessplan_prodej!$F$46/5</f>
        <v>-1901500</v>
      </c>
      <c r="AF37" s="259">
        <f>-Businessplan_prodej!$F$46/5</f>
        <v>-1901500</v>
      </c>
      <c r="AG37" s="259">
        <f>-Businessplan_prodej!$F$46/5</f>
        <v>-1901500</v>
      </c>
      <c r="AH37" s="259">
        <f>-Businessplan_prodej!$F$46/5</f>
        <v>-1901500</v>
      </c>
      <c r="AI37" s="259"/>
      <c r="AJ37" s="259"/>
      <c r="AK37" s="259"/>
      <c r="AL37" s="259"/>
      <c r="AM37" s="259"/>
      <c r="AN37" s="259"/>
      <c r="AO37" s="259"/>
      <c r="AP37" s="259"/>
      <c r="AQ37" s="259"/>
      <c r="AR37" s="259"/>
      <c r="AS37" s="259"/>
      <c r="AT37" s="259"/>
      <c r="AU37" s="259"/>
      <c r="AV37" s="259"/>
      <c r="AW37" s="259"/>
      <c r="AX37" s="259"/>
      <c r="AY37" s="259"/>
      <c r="AZ37" s="259"/>
      <c r="BA37" s="259"/>
      <c r="BB37" s="259"/>
      <c r="BC37" s="259"/>
      <c r="BD37" s="259"/>
      <c r="BE37" s="259"/>
      <c r="BF37" s="259"/>
      <c r="BG37" s="259"/>
      <c r="BH37" s="259"/>
      <c r="BI37" s="259"/>
      <c r="BJ37" s="259"/>
      <c r="BK37" s="259"/>
      <c r="BL37" s="259"/>
      <c r="BM37" s="259"/>
      <c r="BN37" s="259"/>
      <c r="BO37" s="259"/>
      <c r="BP37" s="259"/>
      <c r="BQ37" s="259"/>
      <c r="BR37" s="259"/>
      <c r="BS37" s="259"/>
      <c r="BT37" s="259"/>
      <c r="BU37" s="259"/>
      <c r="BV37" s="259"/>
      <c r="BW37" s="259"/>
      <c r="BX37" s="265"/>
      <c r="BY37" s="266">
        <f t="shared" ref="BY37:BY38" si="17">SUM(E37:BX37)</f>
        <v>-9507500</v>
      </c>
      <c r="BZ37" s="564"/>
      <c r="CA37" s="229"/>
      <c r="CB37" s="229"/>
      <c r="CC37" s="229"/>
      <c r="CD37" s="256" t="e">
        <f t="array" aca="1" ref="CD37" ca="1">SUM(INDEX(AF37:BX37, , 1):INDEX(AF37:BX37, ,MATCH(#REF!, $E$3:$BX$3,0) ))</f>
        <v>#REF!</v>
      </c>
      <c r="CE37" s="564"/>
    </row>
    <row r="38" spans="2:83" ht="15.95" hidden="1" outlineLevel="1">
      <c r="B38" s="569"/>
      <c r="C38" s="257" t="s">
        <v>215</v>
      </c>
      <c r="D38" s="261" t="s">
        <v>191</v>
      </c>
      <c r="E38" s="259"/>
      <c r="F38" s="259"/>
      <c r="G38" s="259"/>
      <c r="H38" s="259"/>
      <c r="I38" s="259"/>
      <c r="J38" s="259"/>
      <c r="K38" s="259"/>
      <c r="L38" s="259"/>
      <c r="M38" s="259"/>
      <c r="N38" s="259"/>
      <c r="O38" s="259"/>
      <c r="P38" s="259"/>
      <c r="Q38" s="259"/>
      <c r="R38" s="259"/>
      <c r="S38" s="270"/>
      <c r="T38" s="259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65"/>
      <c r="BY38" s="269">
        <f t="shared" si="17"/>
        <v>0</v>
      </c>
      <c r="BZ38" s="564"/>
      <c r="CA38" s="229"/>
      <c r="CB38" s="229"/>
      <c r="CC38" s="229"/>
      <c r="CD38" s="256" t="e">
        <f t="array" aca="1" ref="CD38" ca="1">SUM(INDEX(AC38:BX38, , 1):INDEX(AC38:BX38, ,MATCH(#REF!, $E$3:$BX$3,0) ))</f>
        <v>#REF!</v>
      </c>
      <c r="CE38" s="564"/>
    </row>
    <row r="39" spans="2:83" ht="15.95">
      <c r="B39" s="569"/>
      <c r="C39" s="252" t="s">
        <v>216</v>
      </c>
      <c r="D39" s="253"/>
      <c r="E39" s="254">
        <f t="shared" ref="E39:BX39" si="18">SUM(E40:E48)</f>
        <v>0</v>
      </c>
      <c r="F39" s="254">
        <f t="shared" si="18"/>
        <v>0</v>
      </c>
      <c r="G39" s="254">
        <f t="shared" si="18"/>
        <v>0</v>
      </c>
      <c r="H39" s="254">
        <f t="shared" si="18"/>
        <v>0</v>
      </c>
      <c r="I39" s="254">
        <f t="shared" si="18"/>
        <v>-87324</v>
      </c>
      <c r="J39" s="254">
        <f t="shared" si="18"/>
        <v>0</v>
      </c>
      <c r="K39" s="254">
        <f t="shared" si="18"/>
        <v>0</v>
      </c>
      <c r="L39" s="254">
        <f t="shared" si="18"/>
        <v>-23422</v>
      </c>
      <c r="M39" s="254">
        <f t="shared" si="18"/>
        <v>0</v>
      </c>
      <c r="N39" s="254">
        <f t="shared" si="18"/>
        <v>-65600</v>
      </c>
      <c r="O39" s="254">
        <f t="shared" si="18"/>
        <v>-25152.89256198347</v>
      </c>
      <c r="P39" s="254">
        <f t="shared" si="18"/>
        <v>-30477.685950413223</v>
      </c>
      <c r="Q39" s="254">
        <f t="shared" si="18"/>
        <v>-359550.41322314052</v>
      </c>
      <c r="R39" s="254">
        <f t="shared" si="18"/>
        <v>-180165.06438016528</v>
      </c>
      <c r="S39" s="254">
        <f t="shared" si="18"/>
        <v>-171690.44454545455</v>
      </c>
      <c r="T39" s="254">
        <f t="shared" si="18"/>
        <v>-163893.99</v>
      </c>
      <c r="U39" s="254">
        <f t="shared" si="18"/>
        <v>-182100.60157024793</v>
      </c>
      <c r="V39" s="254">
        <f t="shared" si="18"/>
        <v>-303711.30922865018</v>
      </c>
      <c r="W39" s="254">
        <f t="shared" si="18"/>
        <v>-922309.55922865018</v>
      </c>
      <c r="X39" s="254">
        <f t="shared" si="18"/>
        <v>-144321.30922865015</v>
      </c>
      <c r="Y39" s="254">
        <f t="shared" si="18"/>
        <v>-144321.30922865015</v>
      </c>
      <c r="Z39" s="254">
        <f t="shared" si="18"/>
        <v>-325651.00922865019</v>
      </c>
      <c r="AA39" s="254">
        <f t="shared" si="18"/>
        <v>-325651.00922865019</v>
      </c>
      <c r="AB39" s="254">
        <f t="shared" si="18"/>
        <v>-325651.00922865019</v>
      </c>
      <c r="AC39" s="254">
        <f t="shared" si="18"/>
        <v>-325651.00922865019</v>
      </c>
      <c r="AD39" s="254">
        <f t="shared" si="18"/>
        <v>-325651.00922865019</v>
      </c>
      <c r="AE39" s="254">
        <f t="shared" si="18"/>
        <v>-325651.00922865019</v>
      </c>
      <c r="AF39" s="254">
        <f t="shared" si="18"/>
        <v>-416731.00922865019</v>
      </c>
      <c r="AG39" s="254">
        <f t="shared" si="18"/>
        <v>-325651.00922865019</v>
      </c>
      <c r="AH39" s="254">
        <f t="shared" si="18"/>
        <v>-335651.00922865019</v>
      </c>
      <c r="AI39" s="254">
        <f t="shared" si="18"/>
        <v>-91080</v>
      </c>
      <c r="AJ39" s="254">
        <f t="shared" si="18"/>
        <v>-800758.25</v>
      </c>
      <c r="AK39" s="254">
        <f t="shared" si="18"/>
        <v>0</v>
      </c>
      <c r="AL39" s="254">
        <f t="shared" si="18"/>
        <v>0</v>
      </c>
      <c r="AM39" s="254">
        <f t="shared" si="18"/>
        <v>0</v>
      </c>
      <c r="AN39" s="254">
        <f t="shared" si="18"/>
        <v>0</v>
      </c>
      <c r="AO39" s="254">
        <f t="shared" si="18"/>
        <v>0</v>
      </c>
      <c r="AP39" s="254">
        <f t="shared" si="18"/>
        <v>0</v>
      </c>
      <c r="AQ39" s="254">
        <f t="shared" si="18"/>
        <v>0</v>
      </c>
      <c r="AR39" s="254">
        <f t="shared" si="18"/>
        <v>0</v>
      </c>
      <c r="AS39" s="254">
        <f t="shared" si="18"/>
        <v>0</v>
      </c>
      <c r="AT39" s="254">
        <f t="shared" si="18"/>
        <v>0</v>
      </c>
      <c r="AU39" s="254">
        <f t="shared" si="18"/>
        <v>0</v>
      </c>
      <c r="AV39" s="254">
        <f t="shared" si="18"/>
        <v>0</v>
      </c>
      <c r="AW39" s="254">
        <f t="shared" si="18"/>
        <v>0</v>
      </c>
      <c r="AX39" s="254">
        <f t="shared" si="18"/>
        <v>0</v>
      </c>
      <c r="AY39" s="254">
        <f t="shared" si="18"/>
        <v>0</v>
      </c>
      <c r="AZ39" s="254">
        <f t="shared" si="18"/>
        <v>0</v>
      </c>
      <c r="BA39" s="254">
        <f t="shared" si="18"/>
        <v>0</v>
      </c>
      <c r="BB39" s="254">
        <f t="shared" si="18"/>
        <v>0</v>
      </c>
      <c r="BC39" s="254">
        <f t="shared" si="18"/>
        <v>0</v>
      </c>
      <c r="BD39" s="254">
        <f t="shared" si="18"/>
        <v>0</v>
      </c>
      <c r="BE39" s="254">
        <f t="shared" si="18"/>
        <v>0</v>
      </c>
      <c r="BF39" s="254">
        <f t="shared" si="18"/>
        <v>0</v>
      </c>
      <c r="BG39" s="254">
        <f t="shared" si="18"/>
        <v>0</v>
      </c>
      <c r="BH39" s="254">
        <f t="shared" si="18"/>
        <v>0</v>
      </c>
      <c r="BI39" s="254">
        <f t="shared" si="18"/>
        <v>0</v>
      </c>
      <c r="BJ39" s="254">
        <f t="shared" si="18"/>
        <v>0</v>
      </c>
      <c r="BK39" s="254">
        <f t="shared" si="18"/>
        <v>0</v>
      </c>
      <c r="BL39" s="254">
        <f t="shared" si="18"/>
        <v>0</v>
      </c>
      <c r="BM39" s="254">
        <f t="shared" si="18"/>
        <v>0</v>
      </c>
      <c r="BN39" s="254">
        <f t="shared" si="18"/>
        <v>0</v>
      </c>
      <c r="BO39" s="254">
        <f t="shared" si="18"/>
        <v>0</v>
      </c>
      <c r="BP39" s="254">
        <f t="shared" si="18"/>
        <v>0</v>
      </c>
      <c r="BQ39" s="254">
        <f t="shared" si="18"/>
        <v>0</v>
      </c>
      <c r="BR39" s="254">
        <f t="shared" si="18"/>
        <v>0</v>
      </c>
      <c r="BS39" s="254">
        <f t="shared" si="18"/>
        <v>0</v>
      </c>
      <c r="BT39" s="254">
        <f t="shared" si="18"/>
        <v>0</v>
      </c>
      <c r="BU39" s="254">
        <f t="shared" si="18"/>
        <v>0</v>
      </c>
      <c r="BV39" s="254">
        <f t="shared" si="18"/>
        <v>0</v>
      </c>
      <c r="BW39" s="254">
        <f t="shared" si="18"/>
        <v>0</v>
      </c>
      <c r="BX39" s="254">
        <f t="shared" si="18"/>
        <v>0</v>
      </c>
      <c r="BY39" s="256">
        <f>SUM(BY40:BY48)</f>
        <v>-6727817.9122038558</v>
      </c>
      <c r="BZ39" s="564"/>
      <c r="CA39" s="229"/>
      <c r="CB39" s="229"/>
      <c r="CC39" s="229"/>
      <c r="CD39" s="256" t="e">
        <f t="array" aca="1" ref="CD39" ca="1">SUM(INDEX(E39:BX39, , 1):INDEX(E39:BX39, ,MATCH($CD$4, $E$3:$BX$3,0) ))</f>
        <v>#N/A</v>
      </c>
      <c r="CE39" s="564"/>
    </row>
    <row r="40" spans="2:83" ht="15.95" outlineLevel="1">
      <c r="B40" s="569"/>
      <c r="C40" s="268" t="s">
        <v>217</v>
      </c>
      <c r="D40" s="258" t="s">
        <v>191</v>
      </c>
      <c r="E40" s="262"/>
      <c r="F40" s="262"/>
      <c r="G40" s="262"/>
      <c r="H40" s="262"/>
      <c r="I40" s="262"/>
      <c r="J40" s="262"/>
      <c r="K40" s="262"/>
      <c r="L40" s="262"/>
      <c r="M40" s="262"/>
      <c r="N40" s="262"/>
      <c r="O40" s="262"/>
      <c r="P40" s="262"/>
      <c r="Q40" s="262">
        <f>-(319440+106480)/1.21</f>
        <v>-352000</v>
      </c>
      <c r="R40" s="262">
        <f t="shared" ref="R40:AH40" si="19">-88000</f>
        <v>-88000</v>
      </c>
      <c r="S40" s="262">
        <f t="shared" si="19"/>
        <v>-88000</v>
      </c>
      <c r="T40" s="262">
        <f t="shared" si="19"/>
        <v>-88000</v>
      </c>
      <c r="U40" s="262">
        <f t="shared" si="19"/>
        <v>-88000</v>
      </c>
      <c r="V40" s="262">
        <f t="shared" si="19"/>
        <v>-88000</v>
      </c>
      <c r="W40" s="262">
        <f t="shared" si="19"/>
        <v>-88000</v>
      </c>
      <c r="X40" s="262">
        <f t="shared" si="19"/>
        <v>-88000</v>
      </c>
      <c r="Y40" s="262">
        <f t="shared" si="19"/>
        <v>-88000</v>
      </c>
      <c r="Z40" s="262">
        <f t="shared" si="19"/>
        <v>-88000</v>
      </c>
      <c r="AA40" s="262">
        <f t="shared" si="19"/>
        <v>-88000</v>
      </c>
      <c r="AB40" s="262">
        <f t="shared" si="19"/>
        <v>-88000</v>
      </c>
      <c r="AC40" s="262">
        <f t="shared" si="19"/>
        <v>-88000</v>
      </c>
      <c r="AD40" s="262">
        <f t="shared" si="19"/>
        <v>-88000</v>
      </c>
      <c r="AE40" s="262">
        <f t="shared" si="19"/>
        <v>-88000</v>
      </c>
      <c r="AF40" s="262">
        <f t="shared" si="19"/>
        <v>-88000</v>
      </c>
      <c r="AG40" s="262">
        <f t="shared" si="19"/>
        <v>-88000</v>
      </c>
      <c r="AH40" s="262">
        <f t="shared" si="19"/>
        <v>-88000</v>
      </c>
      <c r="AI40" s="262"/>
      <c r="AJ40" s="262"/>
      <c r="AK40" s="262"/>
      <c r="AL40" s="262"/>
      <c r="AM40" s="262"/>
      <c r="AN40" s="262"/>
      <c r="AO40" s="262"/>
      <c r="AP40" s="262"/>
      <c r="AQ40" s="262"/>
      <c r="AR40" s="262"/>
      <c r="AS40" s="262"/>
      <c r="AT40" s="262"/>
      <c r="AU40" s="262"/>
      <c r="AV40" s="262"/>
      <c r="AW40" s="262"/>
      <c r="AX40" s="262"/>
      <c r="AY40" s="262"/>
      <c r="AZ40" s="262"/>
      <c r="BA40" s="262"/>
      <c r="BB40" s="262"/>
      <c r="BC40" s="262"/>
      <c r="BD40" s="262"/>
      <c r="BE40" s="262"/>
      <c r="BF40" s="262"/>
      <c r="BG40" s="262"/>
      <c r="BH40" s="262"/>
      <c r="BI40" s="262"/>
      <c r="BJ40" s="262"/>
      <c r="BK40" s="262"/>
      <c r="BL40" s="262"/>
      <c r="BM40" s="262"/>
      <c r="BN40" s="262"/>
      <c r="BO40" s="262"/>
      <c r="BP40" s="262"/>
      <c r="BQ40" s="262"/>
      <c r="BR40" s="262"/>
      <c r="BS40" s="262"/>
      <c r="BT40" s="262"/>
      <c r="BU40" s="262"/>
      <c r="BV40" s="262"/>
      <c r="BW40" s="262"/>
      <c r="BX40" s="271"/>
      <c r="BY40" s="266">
        <f t="shared" ref="BY40:BY48" si="20">SUM(E40:BX40)</f>
        <v>-1848000</v>
      </c>
      <c r="BZ40" s="564"/>
      <c r="CA40" s="229"/>
      <c r="CB40" s="229"/>
      <c r="CC40" s="229"/>
      <c r="CD40" s="256" t="e">
        <f t="shared" ref="CD40:CD42" ca="1" si="21">SUM(INDEX(AC40:BX40, , 1):INDEX(AC40:BX40, ,MATCH(#REF!, $E$3:$BX$3,0) ))</f>
        <v>#REF!</v>
      </c>
      <c r="CE40" s="564"/>
    </row>
    <row r="41" spans="2:83" ht="15.95" outlineLevel="1">
      <c r="B41" s="569"/>
      <c r="C41" s="268" t="s">
        <v>218</v>
      </c>
      <c r="D41" s="258" t="s">
        <v>191</v>
      </c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>
        <f t="shared" ref="R41:U41" si="22">-75893.99</f>
        <v>-75893.990000000005</v>
      </c>
      <c r="S41" s="262">
        <f t="shared" si="22"/>
        <v>-75893.990000000005</v>
      </c>
      <c r="T41" s="262">
        <f t="shared" si="22"/>
        <v>-75893.990000000005</v>
      </c>
      <c r="U41" s="262">
        <f t="shared" si="22"/>
        <v>-75893.990000000005</v>
      </c>
      <c r="V41" s="262">
        <f t="shared" ref="V41:Y41" si="23">-53337</f>
        <v>-53337</v>
      </c>
      <c r="W41" s="262">
        <f t="shared" si="23"/>
        <v>-53337</v>
      </c>
      <c r="X41" s="262">
        <f t="shared" si="23"/>
        <v>-53337</v>
      </c>
      <c r="Y41" s="262">
        <f t="shared" si="23"/>
        <v>-53337</v>
      </c>
      <c r="Z41" s="262">
        <f t="shared" ref="Z41:AG41" si="24">-234666.7</f>
        <v>-234666.7</v>
      </c>
      <c r="AA41" s="262">
        <f t="shared" si="24"/>
        <v>-234666.7</v>
      </c>
      <c r="AB41" s="262">
        <f t="shared" si="24"/>
        <v>-234666.7</v>
      </c>
      <c r="AC41" s="262">
        <f t="shared" si="24"/>
        <v>-234666.7</v>
      </c>
      <c r="AD41" s="262">
        <f t="shared" si="24"/>
        <v>-234666.7</v>
      </c>
      <c r="AE41" s="262">
        <f t="shared" si="24"/>
        <v>-234666.7</v>
      </c>
      <c r="AF41" s="262">
        <f t="shared" si="24"/>
        <v>-234666.7</v>
      </c>
      <c r="AG41" s="262">
        <f t="shared" si="24"/>
        <v>-234666.7</v>
      </c>
      <c r="AH41" s="262">
        <f>-244666.7</f>
        <v>-244666.7</v>
      </c>
      <c r="AI41" s="272"/>
      <c r="AJ41" s="272"/>
      <c r="AK41" s="272"/>
      <c r="AL41" s="272"/>
      <c r="AM41" s="272"/>
      <c r="AN41" s="27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262"/>
      <c r="BD41" s="262"/>
      <c r="BE41" s="262"/>
      <c r="BF41" s="262"/>
      <c r="BG41" s="262"/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71"/>
      <c r="BY41" s="267">
        <f t="shared" si="20"/>
        <v>-2638924.2600000002</v>
      </c>
      <c r="BZ41" s="564"/>
      <c r="CA41" s="229"/>
      <c r="CB41" s="229"/>
      <c r="CC41" s="229"/>
      <c r="CD41" s="256" t="e">
        <f t="shared" ca="1" si="21"/>
        <v>#REF!</v>
      </c>
      <c r="CE41" s="564"/>
    </row>
    <row r="42" spans="2:83" ht="15.95" outlineLevel="1">
      <c r="B42" s="569"/>
      <c r="C42" s="268" t="s">
        <v>219</v>
      </c>
      <c r="D42" s="258" t="s">
        <v>191</v>
      </c>
      <c r="E42" s="262"/>
      <c r="F42" s="262"/>
      <c r="G42" s="262"/>
      <c r="H42" s="262"/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262"/>
      <c r="BD42" s="262"/>
      <c r="BE42" s="262"/>
      <c r="BF42" s="262"/>
      <c r="BG42" s="262"/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71"/>
      <c r="BY42" s="267">
        <f t="shared" si="20"/>
        <v>0</v>
      </c>
      <c r="BZ42" s="564"/>
      <c r="CA42" s="229"/>
      <c r="CB42" s="229"/>
      <c r="CC42" s="229"/>
      <c r="CD42" s="256" t="e">
        <f t="shared" ca="1" si="21"/>
        <v>#REF!</v>
      </c>
      <c r="CE42" s="564"/>
    </row>
    <row r="43" spans="2:83" ht="15.95" outlineLevel="1">
      <c r="B43" s="569"/>
      <c r="C43" s="268" t="s">
        <v>220</v>
      </c>
      <c r="D43" s="258" t="s">
        <v>191</v>
      </c>
      <c r="E43" s="262"/>
      <c r="F43" s="262"/>
      <c r="G43" s="262"/>
      <c r="H43" s="262"/>
      <c r="I43" s="262"/>
      <c r="J43" s="262"/>
      <c r="K43" s="262"/>
      <c r="L43" s="262"/>
      <c r="M43" s="262"/>
      <c r="N43" s="262"/>
      <c r="O43" s="262"/>
      <c r="P43" s="262"/>
      <c r="Q43" s="262"/>
      <c r="R43" s="262"/>
      <c r="S43" s="273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  <c r="AD43" s="262"/>
      <c r="AE43" s="262"/>
      <c r="AF43" s="262"/>
      <c r="AG43" s="262"/>
      <c r="AH43" s="262"/>
      <c r="AI43" s="262"/>
      <c r="AJ43" s="262"/>
      <c r="AK43" s="262"/>
      <c r="AL43" s="262"/>
      <c r="AM43" s="262"/>
      <c r="AN43" s="262"/>
      <c r="AO43" s="262"/>
      <c r="AP43" s="262"/>
      <c r="AQ43" s="262"/>
      <c r="AR43" s="262"/>
      <c r="AS43" s="262"/>
      <c r="AT43" s="262"/>
      <c r="AU43" s="262"/>
      <c r="AV43" s="262"/>
      <c r="AW43" s="262"/>
      <c r="AX43" s="262"/>
      <c r="AY43" s="262"/>
      <c r="AZ43" s="262"/>
      <c r="BA43" s="262"/>
      <c r="BB43" s="262"/>
      <c r="BC43" s="262"/>
      <c r="BD43" s="262"/>
      <c r="BE43" s="262"/>
      <c r="BF43" s="262"/>
      <c r="BG43" s="262"/>
      <c r="BH43" s="262"/>
      <c r="BI43" s="262"/>
      <c r="BJ43" s="262"/>
      <c r="BK43" s="262"/>
      <c r="BL43" s="262"/>
      <c r="BM43" s="262"/>
      <c r="BN43" s="262"/>
      <c r="BO43" s="262"/>
      <c r="BP43" s="262"/>
      <c r="BQ43" s="262"/>
      <c r="BR43" s="262"/>
      <c r="BS43" s="262"/>
      <c r="BT43" s="262"/>
      <c r="BU43" s="262"/>
      <c r="BV43" s="262"/>
      <c r="BW43" s="262"/>
      <c r="BX43" s="271"/>
      <c r="BY43" s="267">
        <f t="shared" si="20"/>
        <v>0</v>
      </c>
      <c r="BZ43" s="564"/>
      <c r="CA43" s="229"/>
      <c r="CB43" s="229"/>
      <c r="CC43" s="229"/>
      <c r="CD43" s="256"/>
      <c r="CE43" s="564"/>
    </row>
    <row r="44" spans="2:83" ht="15.95" outlineLevel="1">
      <c r="B44" s="569"/>
      <c r="C44" s="257" t="s">
        <v>221</v>
      </c>
      <c r="D44" s="258" t="s">
        <v>191</v>
      </c>
      <c r="E44" s="259"/>
      <c r="F44" s="259"/>
      <c r="G44" s="259"/>
      <c r="H44" s="259"/>
      <c r="I44" s="259"/>
      <c r="J44" s="259"/>
      <c r="K44" s="259"/>
      <c r="L44" s="259">
        <f>-6028</f>
        <v>-6028</v>
      </c>
      <c r="M44" s="259"/>
      <c r="N44" s="259">
        <f>-65582/1.21</f>
        <v>-54200</v>
      </c>
      <c r="O44" s="259">
        <f>(-20570-7865)/1.21</f>
        <v>-23500</v>
      </c>
      <c r="P44" s="259">
        <f>-2921/1.21</f>
        <v>-2414.0495867768595</v>
      </c>
      <c r="Q44" s="259"/>
      <c r="R44" s="259">
        <f>-4200/1.21</f>
        <v>-3471.0743801652893</v>
      </c>
      <c r="S44" s="259">
        <f>-8433.71/1.21</f>
        <v>-6970.0082644628092</v>
      </c>
      <c r="T44" s="259"/>
      <c r="U44" s="259">
        <f>-22030/1.21</f>
        <v>-18206.611570247933</v>
      </c>
      <c r="V44" s="259">
        <f>-(Businessplan_prodej!$F$64+SUM($E$44:$P$44))/24</f>
        <v>-2735.7479338842973</v>
      </c>
      <c r="W44" s="259">
        <f>-(Businessplan_prodej!$F$64+SUM($E$44:$P$44))/24</f>
        <v>-2735.7479338842973</v>
      </c>
      <c r="X44" s="259">
        <f>-(Businessplan_prodej!$F$64+SUM($E$44:$P$44))/24</f>
        <v>-2735.7479338842973</v>
      </c>
      <c r="Y44" s="259">
        <f>-(Businessplan_prodej!$F$64+SUM($E$44:$P$44))/24</f>
        <v>-2735.7479338842973</v>
      </c>
      <c r="Z44" s="259">
        <f>-(Businessplan_prodej!$F$64+SUM($E$44:$P$44))/24</f>
        <v>-2735.7479338842973</v>
      </c>
      <c r="AA44" s="259">
        <f>-(Businessplan_prodej!$F$64+SUM($E$44:$P$44))/24</f>
        <v>-2735.7479338842973</v>
      </c>
      <c r="AB44" s="259">
        <f>-(Businessplan_prodej!$F$64+SUM($E$44:$P$44))/24</f>
        <v>-2735.7479338842973</v>
      </c>
      <c r="AC44" s="259">
        <f>-(Businessplan_prodej!$F$64+SUM($E$44:$P$44))/24</f>
        <v>-2735.7479338842973</v>
      </c>
      <c r="AD44" s="259">
        <f>-(Businessplan_prodej!$F$64+SUM($E$44:$P$44))/24</f>
        <v>-2735.7479338842973</v>
      </c>
      <c r="AE44" s="259">
        <f>-(Businessplan_prodej!$F$64+SUM($E$44:$P$44))/24</f>
        <v>-2735.7479338842973</v>
      </c>
      <c r="AF44" s="259">
        <f>-(Businessplan_prodej!$F$64+SUM($E$44:$P$44))/24</f>
        <v>-2735.7479338842973</v>
      </c>
      <c r="AG44" s="259">
        <f>-(Businessplan_prodej!$F$64+SUM($E$44:$P$44))/24</f>
        <v>-2735.7479338842973</v>
      </c>
      <c r="AH44" s="259">
        <f>-(Businessplan_prodej!$F$64+SUM($E$44:$P$44))/24</f>
        <v>-2735.7479338842973</v>
      </c>
      <c r="AI44" s="259"/>
      <c r="AJ44" s="259"/>
      <c r="AK44" s="259"/>
      <c r="AL44" s="259"/>
      <c r="AM44" s="259"/>
      <c r="AN44" s="259"/>
      <c r="AO44" s="259"/>
      <c r="AP44" s="259"/>
      <c r="AQ44" s="259"/>
      <c r="AR44" s="259"/>
      <c r="AS44" s="259"/>
      <c r="AT44" s="259"/>
      <c r="AU44" s="259"/>
      <c r="AV44" s="259"/>
      <c r="AW44" s="259"/>
      <c r="AX44" s="259"/>
      <c r="AY44" s="259"/>
      <c r="AZ44" s="259"/>
      <c r="BA44" s="259"/>
      <c r="BB44" s="259"/>
      <c r="BC44" s="259"/>
      <c r="BD44" s="259"/>
      <c r="BE44" s="259"/>
      <c r="BF44" s="259"/>
      <c r="BG44" s="259"/>
      <c r="BH44" s="259"/>
      <c r="BI44" s="259"/>
      <c r="BJ44" s="259"/>
      <c r="BK44" s="259"/>
      <c r="BL44" s="259"/>
      <c r="BM44" s="259"/>
      <c r="BN44" s="259"/>
      <c r="BO44" s="259"/>
      <c r="BP44" s="259"/>
      <c r="BQ44" s="259"/>
      <c r="BR44" s="259"/>
      <c r="BS44" s="259"/>
      <c r="BT44" s="259"/>
      <c r="BU44" s="259"/>
      <c r="BV44" s="259"/>
      <c r="BW44" s="259"/>
      <c r="BX44" s="265"/>
      <c r="BY44" s="267">
        <f t="shared" si="20"/>
        <v>-150354.46694214875</v>
      </c>
      <c r="BZ44" s="564"/>
      <c r="CA44" s="229"/>
      <c r="CB44" s="229"/>
      <c r="CC44" s="229"/>
      <c r="CD44" s="256" t="e">
        <f t="shared" ref="CD44:CD45" ca="1" si="25">SUM(INDEX(AC44:BX44, , 1):INDEX(AC44:BX44, ,MATCH(#REF!, $E$3:$BX$3,0) ))</f>
        <v>#REF!</v>
      </c>
      <c r="CE44" s="564"/>
    </row>
    <row r="45" spans="2:83" ht="15.95" outlineLevel="1">
      <c r="B45" s="569"/>
      <c r="C45" s="257" t="s">
        <v>222</v>
      </c>
      <c r="D45" s="258" t="s">
        <v>191</v>
      </c>
      <c r="E45" s="259"/>
      <c r="F45" s="259"/>
      <c r="G45" s="259"/>
      <c r="H45" s="259"/>
      <c r="I45" s="259">
        <f>-87324</f>
        <v>-87324</v>
      </c>
      <c r="J45" s="259"/>
      <c r="K45" s="259"/>
      <c r="L45" s="259">
        <f>-17394</f>
        <v>-17394</v>
      </c>
      <c r="M45" s="259"/>
      <c r="N45" s="259">
        <f>-11400</f>
        <v>-11400</v>
      </c>
      <c r="O45" s="259">
        <f>-2000/1.21</f>
        <v>-1652.8925619834711</v>
      </c>
      <c r="P45" s="259">
        <f>-33957/1.21</f>
        <v>-28063.636363636364</v>
      </c>
      <c r="Q45" s="259">
        <f>-9136/1.21</f>
        <v>-7550.4132231404965</v>
      </c>
      <c r="R45" s="259">
        <f>-15488/1.21</f>
        <v>-12800</v>
      </c>
      <c r="S45" s="259">
        <f>-1000/1.21</f>
        <v>-826.44628099173553</v>
      </c>
      <c r="T45" s="259"/>
      <c r="U45" s="259"/>
      <c r="V45" s="259">
        <f>(-Businessplan_prodej!$F$65-SUM($I$45:$P$45))/24</f>
        <v>-248.56129476583979</v>
      </c>
      <c r="W45" s="259">
        <f>(-Businessplan_prodej!$F$65-SUM($I$45:$P$45))/24</f>
        <v>-248.56129476583979</v>
      </c>
      <c r="X45" s="259">
        <f>(-Businessplan_prodej!$F$65-SUM($I$45:$P$45))/24</f>
        <v>-248.56129476583979</v>
      </c>
      <c r="Y45" s="259">
        <f>(-Businessplan_prodej!$F$65-SUM($I$45:$P$45))/24</f>
        <v>-248.56129476583979</v>
      </c>
      <c r="Z45" s="259">
        <f>(-Businessplan_prodej!$F$65-SUM($I$45:$P$45))/24</f>
        <v>-248.56129476583979</v>
      </c>
      <c r="AA45" s="259">
        <f>(-Businessplan_prodej!$F$65-SUM($I$45:$P$45))/24</f>
        <v>-248.56129476583979</v>
      </c>
      <c r="AB45" s="259">
        <f>(-Businessplan_prodej!$F$65-SUM($I$45:$P$45))/24</f>
        <v>-248.56129476583979</v>
      </c>
      <c r="AC45" s="259">
        <f>(-Businessplan_prodej!$F$65-SUM($I$45:$P$45))/24</f>
        <v>-248.56129476583979</v>
      </c>
      <c r="AD45" s="259">
        <f>(-Businessplan_prodej!$F$65-SUM($I$45:$P$45))/24</f>
        <v>-248.56129476583979</v>
      </c>
      <c r="AE45" s="259">
        <f>(-Businessplan_prodej!$F$65-SUM($I$45:$P$45))/24</f>
        <v>-248.56129476583979</v>
      </c>
      <c r="AF45" s="259">
        <f>(-Businessplan_prodej!$F$65-SUM($I$45:$P$45))/24</f>
        <v>-248.56129476583979</v>
      </c>
      <c r="AG45" s="259">
        <f>(-Businessplan_prodej!$F$65-SUM($I$45:$P$45))/24</f>
        <v>-248.56129476583979</v>
      </c>
      <c r="AH45" s="259">
        <f>(-Businessplan_prodej!$F$65-SUM($I$45:$P$45))/24</f>
        <v>-248.56129476583979</v>
      </c>
      <c r="AI45" s="259"/>
      <c r="AJ45" s="259"/>
      <c r="AK45" s="259"/>
      <c r="AL45" s="259"/>
      <c r="AM45" s="259"/>
      <c r="AN45" s="259"/>
      <c r="AO45" s="259"/>
      <c r="AP45" s="259"/>
      <c r="AQ45" s="259"/>
      <c r="AR45" s="259"/>
      <c r="AS45" s="259"/>
      <c r="AT45" s="259"/>
      <c r="AU45" s="259"/>
      <c r="AV45" s="259"/>
      <c r="AW45" s="259"/>
      <c r="AX45" s="259"/>
      <c r="AY45" s="259"/>
      <c r="AZ45" s="259"/>
      <c r="BA45" s="259"/>
      <c r="BB45" s="259"/>
      <c r="BC45" s="259"/>
      <c r="BD45" s="259"/>
      <c r="BE45" s="259"/>
      <c r="BF45" s="259"/>
      <c r="BG45" s="259"/>
      <c r="BH45" s="259"/>
      <c r="BI45" s="259"/>
      <c r="BJ45" s="259"/>
      <c r="BK45" s="259"/>
      <c r="BL45" s="259"/>
      <c r="BM45" s="259"/>
      <c r="BN45" s="259"/>
      <c r="BO45" s="259"/>
      <c r="BP45" s="259"/>
      <c r="BQ45" s="259"/>
      <c r="BR45" s="259"/>
      <c r="BS45" s="259"/>
      <c r="BT45" s="259"/>
      <c r="BU45" s="259"/>
      <c r="BV45" s="259"/>
      <c r="BW45" s="259"/>
      <c r="BX45" s="265"/>
      <c r="BY45" s="267">
        <f t="shared" si="20"/>
        <v>-170242.68526170816</v>
      </c>
      <c r="BZ45" s="564"/>
      <c r="CA45" s="229"/>
      <c r="CB45" s="229"/>
      <c r="CC45" s="229"/>
      <c r="CD45" s="256" t="e">
        <f t="shared" ca="1" si="25"/>
        <v>#REF!</v>
      </c>
      <c r="CE45" s="564"/>
    </row>
    <row r="46" spans="2:83" ht="14.25" customHeight="1" outlineLevel="1">
      <c r="B46" s="569"/>
      <c r="C46" s="257" t="s">
        <v>223</v>
      </c>
      <c r="D46" s="258" t="s">
        <v>191</v>
      </c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  <c r="P46" s="259"/>
      <c r="Q46" s="259"/>
      <c r="R46" s="259"/>
      <c r="S46" s="259"/>
      <c r="T46" s="259"/>
      <c r="U46" s="259"/>
      <c r="V46" s="259">
        <f>-Businessplan_prodej!$F$66*0.3</f>
        <v>-68310</v>
      </c>
      <c r="W46" s="259">
        <f>-Businessplan_prodej!$F$66*0.3</f>
        <v>-68310</v>
      </c>
      <c r="X46" s="259"/>
      <c r="Y46" s="259"/>
      <c r="Z46" s="259"/>
      <c r="AA46" s="259"/>
      <c r="AB46" s="259"/>
      <c r="AC46" s="259"/>
      <c r="AD46" s="259"/>
      <c r="AE46" s="259"/>
      <c r="AF46" s="259"/>
      <c r="AG46" s="259"/>
      <c r="AH46" s="259"/>
      <c r="AI46" s="259">
        <f>-Businessplan_prodej!$F$66*0.2</f>
        <v>-45540</v>
      </c>
      <c r="AJ46" s="259">
        <f>-Businessplan_prodej!$F$66*0.2</f>
        <v>-45540</v>
      </c>
      <c r="AK46" s="259"/>
      <c r="AL46" s="259"/>
      <c r="AM46" s="259"/>
      <c r="AN46" s="259"/>
      <c r="AO46" s="259"/>
      <c r="AP46" s="259"/>
      <c r="AQ46" s="259"/>
      <c r="AR46" s="259"/>
      <c r="AS46" s="259"/>
      <c r="AT46" s="259"/>
      <c r="AU46" s="259"/>
      <c r="AV46" s="259"/>
      <c r="AW46" s="259"/>
      <c r="AX46" s="259"/>
      <c r="AY46" s="259"/>
      <c r="AZ46" s="259"/>
      <c r="BA46" s="259"/>
      <c r="BB46" s="259"/>
      <c r="BC46" s="259"/>
      <c r="BD46" s="259"/>
      <c r="BE46" s="259"/>
      <c r="BF46" s="259"/>
      <c r="BG46" s="259"/>
      <c r="BH46" s="259"/>
      <c r="BI46" s="259"/>
      <c r="BJ46" s="259"/>
      <c r="BK46" s="259"/>
      <c r="BL46" s="259"/>
      <c r="BM46" s="259"/>
      <c r="BN46" s="259"/>
      <c r="BO46" s="259"/>
      <c r="BP46" s="259"/>
      <c r="BQ46" s="259"/>
      <c r="BR46" s="259"/>
      <c r="BS46" s="259"/>
      <c r="BT46" s="259"/>
      <c r="BU46" s="259"/>
      <c r="BV46" s="259"/>
      <c r="BW46" s="259"/>
      <c r="BX46" s="265"/>
      <c r="BY46" s="267">
        <f t="shared" si="20"/>
        <v>-227700</v>
      </c>
      <c r="BZ46" s="564"/>
      <c r="CA46" s="229"/>
      <c r="CB46" s="229"/>
      <c r="CC46" s="229"/>
      <c r="CD46" s="256" t="e">
        <f t="shared" ref="CD46:CD48" ca="1" si="26">SUM(INDEX(AC46:BX46, , 1):INDEX(AC46:BX46, ,MATCH(CD1, $E$3:$BX$3,0) ))</f>
        <v>#N/A</v>
      </c>
      <c r="CE46" s="564"/>
    </row>
    <row r="47" spans="2:83" ht="14.25" customHeight="1" outlineLevel="1">
      <c r="B47" s="569"/>
      <c r="C47" s="257" t="s">
        <v>224</v>
      </c>
      <c r="D47" s="258" t="s">
        <v>191</v>
      </c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>
        <f>-Businessplan_prodej!$F$67*0.4</f>
        <v>-91080</v>
      </c>
      <c r="W47" s="259"/>
      <c r="X47" s="259"/>
      <c r="Y47" s="259"/>
      <c r="Z47" s="259"/>
      <c r="AA47" s="259"/>
      <c r="AB47" s="259"/>
      <c r="AC47" s="259"/>
      <c r="AD47" s="259"/>
      <c r="AE47" s="259"/>
      <c r="AF47" s="259">
        <f>-Businessplan_prodej!$F$67*0.4</f>
        <v>-91080</v>
      </c>
      <c r="AG47" s="259"/>
      <c r="AH47" s="259"/>
      <c r="AI47" s="259">
        <f>-Businessplan_prodej!$F$67*0.2</f>
        <v>-45540</v>
      </c>
      <c r="AJ47" s="259">
        <f>-Businessplan_prodej!$F$67*0.2</f>
        <v>-45540</v>
      </c>
      <c r="AK47" s="259"/>
      <c r="AL47" s="259"/>
      <c r="AM47" s="259"/>
      <c r="AN47" s="259"/>
      <c r="AO47" s="259"/>
      <c r="AP47" s="259"/>
      <c r="AQ47" s="259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59"/>
      <c r="BR47" s="259"/>
      <c r="BS47" s="259"/>
      <c r="BT47" s="259"/>
      <c r="BU47" s="259"/>
      <c r="BV47" s="259"/>
      <c r="BW47" s="259"/>
      <c r="BX47" s="265"/>
      <c r="BY47" s="267">
        <f t="shared" si="20"/>
        <v>-273240</v>
      </c>
      <c r="BZ47" s="564"/>
      <c r="CA47" s="229"/>
      <c r="CB47" s="229"/>
      <c r="CC47" s="229"/>
      <c r="CD47" s="256" t="e">
        <f t="shared" ca="1" si="26"/>
        <v>#N/A</v>
      </c>
      <c r="CE47" s="564"/>
    </row>
    <row r="48" spans="2:83" ht="14.25" customHeight="1" outlineLevel="1">
      <c r="B48" s="569"/>
      <c r="C48" s="257" t="s">
        <v>225</v>
      </c>
      <c r="D48" s="261" t="s">
        <v>191</v>
      </c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>
        <f>-Businessplan_prodej!$F$68/2</f>
        <v>-709678.25</v>
      </c>
      <c r="X48" s="259"/>
      <c r="Y48" s="259"/>
      <c r="Z48" s="259"/>
      <c r="AA48" s="259"/>
      <c r="AB48" s="259"/>
      <c r="AC48" s="259"/>
      <c r="AD48" s="259"/>
      <c r="AE48" s="259"/>
      <c r="AF48" s="259"/>
      <c r="AG48" s="259"/>
      <c r="AH48" s="259"/>
      <c r="AI48" s="259"/>
      <c r="AJ48" s="259">
        <f>-Businessplan_prodej!$F$68/2</f>
        <v>-709678.25</v>
      </c>
      <c r="AK48" s="259"/>
      <c r="AL48" s="259"/>
      <c r="AM48" s="259"/>
      <c r="AN48" s="259"/>
      <c r="AO48" s="259"/>
      <c r="AP48" s="259"/>
      <c r="AQ48" s="259"/>
      <c r="AR48" s="259"/>
      <c r="AS48" s="259"/>
      <c r="AT48" s="259"/>
      <c r="AU48" s="259"/>
      <c r="AV48" s="259"/>
      <c r="AW48" s="259"/>
      <c r="AX48" s="259"/>
      <c r="AY48" s="259"/>
      <c r="AZ48" s="259"/>
      <c r="BA48" s="259"/>
      <c r="BB48" s="259"/>
      <c r="BC48" s="259"/>
      <c r="BD48" s="259"/>
      <c r="BE48" s="259"/>
      <c r="BF48" s="259"/>
      <c r="BG48" s="259"/>
      <c r="BH48" s="259"/>
      <c r="BI48" s="259"/>
      <c r="BJ48" s="259"/>
      <c r="BK48" s="259"/>
      <c r="BL48" s="259"/>
      <c r="BM48" s="259"/>
      <c r="BN48" s="259"/>
      <c r="BO48" s="259"/>
      <c r="BP48" s="259"/>
      <c r="BQ48" s="259"/>
      <c r="BR48" s="259"/>
      <c r="BS48" s="259"/>
      <c r="BT48" s="259"/>
      <c r="BU48" s="259"/>
      <c r="BV48" s="259"/>
      <c r="BW48" s="259"/>
      <c r="BX48" s="265"/>
      <c r="BY48" s="267">
        <f t="shared" si="20"/>
        <v>-1419356.5</v>
      </c>
      <c r="BZ48" s="564"/>
      <c r="CA48" s="229"/>
      <c r="CB48" s="229"/>
      <c r="CC48" s="229"/>
      <c r="CD48" s="256" t="e">
        <f t="shared" ca="1" si="26"/>
        <v>#N/A</v>
      </c>
      <c r="CE48" s="564"/>
    </row>
    <row r="49" spans="2:83" ht="15.95" collapsed="1">
      <c r="B49" s="569"/>
      <c r="C49" s="252" t="s">
        <v>226</v>
      </c>
      <c r="D49" s="253"/>
      <c r="E49" s="254">
        <f t="shared" ref="E49:BX49" si="27">SUM(E50:E54)</f>
        <v>0</v>
      </c>
      <c r="F49" s="254">
        <f t="shared" si="27"/>
        <v>0</v>
      </c>
      <c r="G49" s="254">
        <f t="shared" si="27"/>
        <v>0</v>
      </c>
      <c r="H49" s="254">
        <f t="shared" si="27"/>
        <v>0</v>
      </c>
      <c r="I49" s="254">
        <f t="shared" si="27"/>
        <v>0</v>
      </c>
      <c r="J49" s="254">
        <f t="shared" si="27"/>
        <v>0</v>
      </c>
      <c r="K49" s="254">
        <f t="shared" si="27"/>
        <v>-600</v>
      </c>
      <c r="L49" s="254">
        <f t="shared" si="27"/>
        <v>-699.1</v>
      </c>
      <c r="M49" s="254">
        <f t="shared" si="27"/>
        <v>-607.44000000000005</v>
      </c>
      <c r="N49" s="254">
        <f t="shared" si="27"/>
        <v>-621</v>
      </c>
      <c r="O49" s="254">
        <f t="shared" si="27"/>
        <v>-935</v>
      </c>
      <c r="P49" s="254">
        <f t="shared" si="27"/>
        <v>-921</v>
      </c>
      <c r="Q49" s="254">
        <f t="shared" si="27"/>
        <v>-935</v>
      </c>
      <c r="R49" s="254">
        <f t="shared" si="27"/>
        <v>-628</v>
      </c>
      <c r="S49" s="254">
        <f t="shared" si="27"/>
        <v>-635</v>
      </c>
      <c r="T49" s="254">
        <f t="shared" si="27"/>
        <v>-649</v>
      </c>
      <c r="U49" s="254">
        <f t="shared" si="27"/>
        <v>-628</v>
      </c>
      <c r="V49" s="254">
        <f t="shared" si="27"/>
        <v>-1000</v>
      </c>
      <c r="W49" s="254">
        <f t="shared" si="27"/>
        <v>-1000</v>
      </c>
      <c r="X49" s="254">
        <f t="shared" si="27"/>
        <v>-1000</v>
      </c>
      <c r="Y49" s="254">
        <f t="shared" si="27"/>
        <v>-1000</v>
      </c>
      <c r="Z49" s="254">
        <f t="shared" si="27"/>
        <v>-1000</v>
      </c>
      <c r="AA49" s="254">
        <f t="shared" si="27"/>
        <v>-1000</v>
      </c>
      <c r="AB49" s="254">
        <f t="shared" si="27"/>
        <v>-1000</v>
      </c>
      <c r="AC49" s="254">
        <f t="shared" si="27"/>
        <v>-134869.03677273751</v>
      </c>
      <c r="AD49" s="254">
        <f t="shared" si="27"/>
        <v>-1000</v>
      </c>
      <c r="AE49" s="254">
        <f t="shared" si="27"/>
        <v>-1000</v>
      </c>
      <c r="AF49" s="254">
        <f t="shared" si="27"/>
        <v>-1000</v>
      </c>
      <c r="AG49" s="254">
        <f t="shared" si="27"/>
        <v>-1000</v>
      </c>
      <c r="AH49" s="254">
        <f t="shared" si="27"/>
        <v>-1000</v>
      </c>
      <c r="AI49" s="254">
        <f t="shared" si="27"/>
        <v>-1000</v>
      </c>
      <c r="AJ49" s="254">
        <f t="shared" si="27"/>
        <v>-1000</v>
      </c>
      <c r="AK49" s="254">
        <f t="shared" si="27"/>
        <v>0</v>
      </c>
      <c r="AL49" s="254">
        <f t="shared" si="27"/>
        <v>0</v>
      </c>
      <c r="AM49" s="254">
        <f t="shared" si="27"/>
        <v>0</v>
      </c>
      <c r="AN49" s="254">
        <f t="shared" si="27"/>
        <v>0</v>
      </c>
      <c r="AO49" s="254">
        <f t="shared" si="27"/>
        <v>0</v>
      </c>
      <c r="AP49" s="254">
        <f t="shared" si="27"/>
        <v>0</v>
      </c>
      <c r="AQ49" s="254">
        <f t="shared" si="27"/>
        <v>0</v>
      </c>
      <c r="AR49" s="254">
        <f t="shared" si="27"/>
        <v>0</v>
      </c>
      <c r="AS49" s="254">
        <f t="shared" si="27"/>
        <v>0</v>
      </c>
      <c r="AT49" s="254">
        <f t="shared" si="27"/>
        <v>0</v>
      </c>
      <c r="AU49" s="254">
        <f t="shared" si="27"/>
        <v>0</v>
      </c>
      <c r="AV49" s="254">
        <f t="shared" si="27"/>
        <v>0</v>
      </c>
      <c r="AW49" s="254">
        <f t="shared" si="27"/>
        <v>0</v>
      </c>
      <c r="AX49" s="254">
        <f t="shared" si="27"/>
        <v>0</v>
      </c>
      <c r="AY49" s="254">
        <f t="shared" si="27"/>
        <v>0</v>
      </c>
      <c r="AZ49" s="254">
        <f t="shared" si="27"/>
        <v>0</v>
      </c>
      <c r="BA49" s="254">
        <f t="shared" si="27"/>
        <v>0</v>
      </c>
      <c r="BB49" s="254">
        <f t="shared" si="27"/>
        <v>0</v>
      </c>
      <c r="BC49" s="254">
        <f t="shared" si="27"/>
        <v>0</v>
      </c>
      <c r="BD49" s="254">
        <f t="shared" si="27"/>
        <v>0</v>
      </c>
      <c r="BE49" s="254">
        <f t="shared" si="27"/>
        <v>0</v>
      </c>
      <c r="BF49" s="254">
        <f t="shared" si="27"/>
        <v>0</v>
      </c>
      <c r="BG49" s="254">
        <f t="shared" si="27"/>
        <v>0</v>
      </c>
      <c r="BH49" s="254">
        <f t="shared" si="27"/>
        <v>0</v>
      </c>
      <c r="BI49" s="254">
        <f t="shared" si="27"/>
        <v>0</v>
      </c>
      <c r="BJ49" s="254">
        <f t="shared" si="27"/>
        <v>0</v>
      </c>
      <c r="BK49" s="254">
        <f t="shared" si="27"/>
        <v>0</v>
      </c>
      <c r="BL49" s="254">
        <f t="shared" si="27"/>
        <v>0</v>
      </c>
      <c r="BM49" s="254">
        <f t="shared" si="27"/>
        <v>0</v>
      </c>
      <c r="BN49" s="254">
        <f t="shared" si="27"/>
        <v>0</v>
      </c>
      <c r="BO49" s="254">
        <f t="shared" si="27"/>
        <v>0</v>
      </c>
      <c r="BP49" s="254">
        <f t="shared" si="27"/>
        <v>0</v>
      </c>
      <c r="BQ49" s="254">
        <f t="shared" si="27"/>
        <v>0</v>
      </c>
      <c r="BR49" s="254">
        <f t="shared" si="27"/>
        <v>0</v>
      </c>
      <c r="BS49" s="254">
        <f t="shared" si="27"/>
        <v>0</v>
      </c>
      <c r="BT49" s="254">
        <f t="shared" si="27"/>
        <v>0</v>
      </c>
      <c r="BU49" s="254">
        <f t="shared" si="27"/>
        <v>0</v>
      </c>
      <c r="BV49" s="254">
        <f t="shared" si="27"/>
        <v>0</v>
      </c>
      <c r="BW49" s="254">
        <f t="shared" si="27"/>
        <v>0</v>
      </c>
      <c r="BX49" s="254">
        <f t="shared" si="27"/>
        <v>0</v>
      </c>
      <c r="BY49" s="256">
        <f>SUM(BY50:BY54)</f>
        <v>-156727.57677273752</v>
      </c>
      <c r="BZ49" s="564"/>
      <c r="CA49" s="229"/>
      <c r="CB49" s="229"/>
      <c r="CC49" s="229"/>
      <c r="CD49" s="256" t="e">
        <f t="array" aca="1" ref="CD49" ca="1">SUM(INDEX(E49:BX49, , 1):INDEX(E49:BX49, ,MATCH($CD$4, $E$3:$BX$3,0) ))</f>
        <v>#N/A</v>
      </c>
      <c r="CE49" s="564"/>
    </row>
    <row r="50" spans="2:83" ht="15.95" hidden="1" outlineLevel="1">
      <c r="B50" s="569"/>
      <c r="C50" s="257" t="s">
        <v>227</v>
      </c>
      <c r="D50" s="258" t="s">
        <v>191</v>
      </c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>
        <f>-Businessplan_prodej!$F$76</f>
        <v>-133869.03677273751</v>
      </c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59"/>
      <c r="AQ50" s="259"/>
      <c r="AR50" s="259"/>
      <c r="AS50" s="259"/>
      <c r="AT50" s="259"/>
      <c r="AU50" s="259"/>
      <c r="AV50" s="259"/>
      <c r="AW50" s="259"/>
      <c r="AX50" s="259"/>
      <c r="AY50" s="259"/>
      <c r="AZ50" s="259"/>
      <c r="BA50" s="259"/>
      <c r="BB50" s="259"/>
      <c r="BC50" s="259"/>
      <c r="BD50" s="259"/>
      <c r="BE50" s="259"/>
      <c r="BF50" s="259"/>
      <c r="BG50" s="259"/>
      <c r="BH50" s="259"/>
      <c r="BI50" s="259"/>
      <c r="BJ50" s="259"/>
      <c r="BK50" s="259"/>
      <c r="BL50" s="259"/>
      <c r="BM50" s="259"/>
      <c r="BN50" s="259"/>
      <c r="BO50" s="259"/>
      <c r="BP50" s="259"/>
      <c r="BQ50" s="259"/>
      <c r="BR50" s="259"/>
      <c r="BS50" s="259"/>
      <c r="BT50" s="259"/>
      <c r="BU50" s="259"/>
      <c r="BV50" s="259"/>
      <c r="BW50" s="259"/>
      <c r="BX50" s="265"/>
      <c r="BY50" s="266">
        <f t="shared" ref="BY50:BY54" si="28">SUM(E50:BX50)</f>
        <v>-133869.03677273751</v>
      </c>
      <c r="BZ50" s="564"/>
      <c r="CA50" s="229"/>
      <c r="CB50" s="229"/>
      <c r="CC50" s="229"/>
      <c r="CD50" s="256" t="e">
        <f t="shared" ref="CD50:CD54" ca="1" si="29">SUM(INDEX(AC50:BX50, , 1):INDEX(AC50:BX50, ,MATCH(CD5, E4:BX4,0) ))</f>
        <v>#N/A</v>
      </c>
      <c r="CE50" s="564"/>
    </row>
    <row r="51" spans="2:83" ht="15.95" hidden="1" outlineLevel="1">
      <c r="B51" s="569"/>
      <c r="C51" s="257" t="s">
        <v>228</v>
      </c>
      <c r="D51" s="258" t="s">
        <v>191</v>
      </c>
      <c r="E51" s="259"/>
      <c r="F51" s="259"/>
      <c r="G51" s="259"/>
      <c r="H51" s="259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9"/>
      <c r="AL51" s="259"/>
      <c r="AM51" s="259"/>
      <c r="AN51" s="259"/>
      <c r="AO51" s="259"/>
      <c r="AP51" s="259"/>
      <c r="AQ51" s="259"/>
      <c r="AR51" s="259"/>
      <c r="AS51" s="259"/>
      <c r="AT51" s="259"/>
      <c r="AU51" s="259"/>
      <c r="AV51" s="259"/>
      <c r="AW51" s="259"/>
      <c r="AX51" s="259"/>
      <c r="AY51" s="259"/>
      <c r="AZ51" s="259"/>
      <c r="BA51" s="259"/>
      <c r="BB51" s="259"/>
      <c r="BC51" s="259"/>
      <c r="BD51" s="259"/>
      <c r="BE51" s="259"/>
      <c r="BF51" s="259"/>
      <c r="BG51" s="259"/>
      <c r="BH51" s="259"/>
      <c r="BI51" s="259"/>
      <c r="BJ51" s="259"/>
      <c r="BK51" s="259"/>
      <c r="BL51" s="259"/>
      <c r="BM51" s="259"/>
      <c r="BN51" s="259"/>
      <c r="BO51" s="259"/>
      <c r="BP51" s="259"/>
      <c r="BQ51" s="259"/>
      <c r="BR51" s="259"/>
      <c r="BS51" s="259"/>
      <c r="BT51" s="259"/>
      <c r="BU51" s="259"/>
      <c r="BV51" s="259"/>
      <c r="BW51" s="259"/>
      <c r="BX51" s="265"/>
      <c r="BY51" s="266">
        <f t="shared" si="28"/>
        <v>0</v>
      </c>
      <c r="BZ51" s="564"/>
      <c r="CA51" s="229"/>
      <c r="CB51" s="229"/>
      <c r="CC51" s="229"/>
      <c r="CD51" s="256" t="e">
        <f t="shared" ca="1" si="29"/>
        <v>#N/A</v>
      </c>
      <c r="CE51" s="564"/>
    </row>
    <row r="52" spans="2:83" ht="15.95" hidden="1" outlineLevel="1">
      <c r="B52" s="569"/>
      <c r="C52" s="257" t="s">
        <v>229</v>
      </c>
      <c r="D52" s="258" t="s">
        <v>191</v>
      </c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9"/>
      <c r="AH52" s="259"/>
      <c r="AI52" s="259"/>
      <c r="AJ52" s="259"/>
      <c r="AK52" s="259"/>
      <c r="AL52" s="259"/>
      <c r="AM52" s="259"/>
      <c r="AN52" s="259"/>
      <c r="AO52" s="259"/>
      <c r="AP52" s="259"/>
      <c r="AQ52" s="259"/>
      <c r="AR52" s="259"/>
      <c r="AS52" s="259"/>
      <c r="AT52" s="259"/>
      <c r="AU52" s="259"/>
      <c r="AV52" s="259"/>
      <c r="AW52" s="259"/>
      <c r="AX52" s="259"/>
      <c r="AY52" s="259"/>
      <c r="AZ52" s="259"/>
      <c r="BA52" s="259"/>
      <c r="BB52" s="259"/>
      <c r="BC52" s="259"/>
      <c r="BD52" s="259"/>
      <c r="BE52" s="259"/>
      <c r="BF52" s="259"/>
      <c r="BG52" s="259"/>
      <c r="BH52" s="259"/>
      <c r="BI52" s="259"/>
      <c r="BJ52" s="259"/>
      <c r="BK52" s="259"/>
      <c r="BL52" s="259"/>
      <c r="BM52" s="259"/>
      <c r="BN52" s="259"/>
      <c r="BO52" s="259"/>
      <c r="BP52" s="259"/>
      <c r="BQ52" s="259"/>
      <c r="BR52" s="259"/>
      <c r="BS52" s="259"/>
      <c r="BT52" s="259"/>
      <c r="BU52" s="259"/>
      <c r="BV52" s="259"/>
      <c r="BW52" s="259"/>
      <c r="BX52" s="265"/>
      <c r="BY52" s="266">
        <f t="shared" si="28"/>
        <v>0</v>
      </c>
      <c r="BZ52" s="564"/>
      <c r="CA52" s="229"/>
      <c r="CB52" s="229"/>
      <c r="CC52" s="229"/>
      <c r="CD52" s="256">
        <f t="shared" ca="1" si="29"/>
        <v>0</v>
      </c>
      <c r="CE52" s="564"/>
    </row>
    <row r="53" spans="2:83" ht="15.95" hidden="1" outlineLevel="1">
      <c r="B53" s="569"/>
      <c r="C53" s="257" t="s">
        <v>230</v>
      </c>
      <c r="D53" s="258" t="s">
        <v>191</v>
      </c>
      <c r="E53" s="259"/>
      <c r="F53" s="259"/>
      <c r="G53" s="259"/>
      <c r="H53" s="259"/>
      <c r="I53" s="259"/>
      <c r="J53" s="259"/>
      <c r="K53" s="259">
        <f>-400-200</f>
        <v>-600</v>
      </c>
      <c r="L53" s="259">
        <f>-50-2.1-3-400-12-6-20-200-6</f>
        <v>-699.1</v>
      </c>
      <c r="M53" s="259">
        <f>-400-2-5-200-0.44</f>
        <v>-607.44000000000005</v>
      </c>
      <c r="N53" s="259">
        <f>-3-400-2-5-200-3-8</f>
        <v>-621</v>
      </c>
      <c r="O53" s="259">
        <f>-300-6-4-400-12-10-200-3</f>
        <v>-935</v>
      </c>
      <c r="P53" s="259">
        <f>-300-400-2-5-200-8-6</f>
        <v>-921</v>
      </c>
      <c r="Q53" s="259">
        <f>-300-20-15-400-200</f>
        <v>-935</v>
      </c>
      <c r="R53" s="259">
        <f>-400-12-200-16</f>
        <v>-628</v>
      </c>
      <c r="S53" s="259">
        <f>-6-20-9-400-200</f>
        <v>-635</v>
      </c>
      <c r="T53" s="259">
        <f>-400-2-5-200-3-24-15</f>
        <v>-649</v>
      </c>
      <c r="U53" s="259">
        <f>-4-400-10-200-8-6</f>
        <v>-628</v>
      </c>
      <c r="V53" s="259">
        <f>-Businessplan_prodej!$E$79</f>
        <v>-1000</v>
      </c>
      <c r="W53" s="259">
        <f>-Businessplan_prodej!$E$79</f>
        <v>-1000</v>
      </c>
      <c r="X53" s="259">
        <f>-Businessplan_prodej!$E$79</f>
        <v>-1000</v>
      </c>
      <c r="Y53" s="259">
        <f>-Businessplan_prodej!$E$79</f>
        <v>-1000</v>
      </c>
      <c r="Z53" s="259">
        <f>-Businessplan_prodej!$E$79</f>
        <v>-1000</v>
      </c>
      <c r="AA53" s="259">
        <f>-Businessplan_prodej!$E$79</f>
        <v>-1000</v>
      </c>
      <c r="AB53" s="259">
        <f>-Businessplan_prodej!$E$79</f>
        <v>-1000</v>
      </c>
      <c r="AC53" s="259">
        <f>-Businessplan_prodej!$E$79</f>
        <v>-1000</v>
      </c>
      <c r="AD53" s="259">
        <f>-Businessplan_prodej!$E$79</f>
        <v>-1000</v>
      </c>
      <c r="AE53" s="259">
        <f>-Businessplan_prodej!$E$79</f>
        <v>-1000</v>
      </c>
      <c r="AF53" s="259">
        <f>-Businessplan_prodej!$E$79</f>
        <v>-1000</v>
      </c>
      <c r="AG53" s="259">
        <f>-Businessplan_prodej!$E$79</f>
        <v>-1000</v>
      </c>
      <c r="AH53" s="259">
        <f>-Businessplan_prodej!$E$79</f>
        <v>-1000</v>
      </c>
      <c r="AI53" s="259">
        <f>-Businessplan_prodej!$E$79</f>
        <v>-1000</v>
      </c>
      <c r="AJ53" s="259">
        <f>-Businessplan_prodej!$E$79</f>
        <v>-1000</v>
      </c>
      <c r="AK53" s="259"/>
      <c r="AL53" s="259"/>
      <c r="AM53" s="259"/>
      <c r="AN53" s="259"/>
      <c r="AO53" s="259"/>
      <c r="AP53" s="259"/>
      <c r="AQ53" s="259"/>
      <c r="AR53" s="259"/>
      <c r="AS53" s="259"/>
      <c r="AT53" s="259"/>
      <c r="AU53" s="259"/>
      <c r="AV53" s="259"/>
      <c r="AW53" s="259"/>
      <c r="AX53" s="259"/>
      <c r="AY53" s="259"/>
      <c r="AZ53" s="259"/>
      <c r="BA53" s="259"/>
      <c r="BB53" s="259"/>
      <c r="BC53" s="259"/>
      <c r="BD53" s="259"/>
      <c r="BE53" s="259"/>
      <c r="BF53" s="259"/>
      <c r="BG53" s="259"/>
      <c r="BH53" s="259"/>
      <c r="BI53" s="259"/>
      <c r="BJ53" s="259"/>
      <c r="BK53" s="259"/>
      <c r="BL53" s="259"/>
      <c r="BM53" s="259"/>
      <c r="BN53" s="259"/>
      <c r="BO53" s="259"/>
      <c r="BP53" s="259"/>
      <c r="BQ53" s="259"/>
      <c r="BR53" s="259"/>
      <c r="BS53" s="259"/>
      <c r="BT53" s="259"/>
      <c r="BU53" s="259"/>
      <c r="BV53" s="259"/>
      <c r="BW53" s="259"/>
      <c r="BX53" s="265"/>
      <c r="BY53" s="267">
        <f t="shared" si="28"/>
        <v>-22858.54</v>
      </c>
      <c r="BZ53" s="564"/>
      <c r="CA53" s="229"/>
      <c r="CB53" s="229"/>
      <c r="CC53" s="229"/>
      <c r="CD53" s="256" t="e">
        <f t="shared" ca="1" si="29"/>
        <v>#N/A</v>
      </c>
      <c r="CE53" s="564"/>
    </row>
    <row r="54" spans="2:83" ht="15.95" hidden="1" outlineLevel="1">
      <c r="B54" s="569"/>
      <c r="C54" s="257" t="s">
        <v>231</v>
      </c>
      <c r="D54" s="261" t="s">
        <v>191</v>
      </c>
      <c r="E54" s="262"/>
      <c r="F54" s="262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59"/>
      <c r="AH54" s="259"/>
      <c r="AI54" s="259"/>
      <c r="AJ54" s="259"/>
      <c r="AK54" s="259"/>
      <c r="AL54" s="259"/>
      <c r="AM54" s="259"/>
      <c r="AN54" s="259"/>
      <c r="AO54" s="259"/>
      <c r="AP54" s="259"/>
      <c r="AQ54" s="259"/>
      <c r="AR54" s="259"/>
      <c r="AS54" s="259"/>
      <c r="AT54" s="259"/>
      <c r="AU54" s="259"/>
      <c r="AV54" s="259"/>
      <c r="AW54" s="259"/>
      <c r="AX54" s="259"/>
      <c r="AY54" s="259"/>
      <c r="AZ54" s="259"/>
      <c r="BA54" s="259"/>
      <c r="BB54" s="259"/>
      <c r="BC54" s="259"/>
      <c r="BD54" s="259"/>
      <c r="BE54" s="259"/>
      <c r="BF54" s="259"/>
      <c r="BG54" s="259"/>
      <c r="BH54" s="259"/>
      <c r="BI54" s="259"/>
      <c r="BJ54" s="259"/>
      <c r="BK54" s="259"/>
      <c r="BL54" s="259"/>
      <c r="BM54" s="259"/>
      <c r="BN54" s="259"/>
      <c r="BO54" s="259"/>
      <c r="BP54" s="259"/>
      <c r="BQ54" s="259"/>
      <c r="BR54" s="259"/>
      <c r="BS54" s="259"/>
      <c r="BT54" s="259"/>
      <c r="BU54" s="259"/>
      <c r="BV54" s="259"/>
      <c r="BW54" s="259"/>
      <c r="BX54" s="265"/>
      <c r="BY54" s="269">
        <f t="shared" si="28"/>
        <v>0</v>
      </c>
      <c r="BZ54" s="564"/>
      <c r="CA54" s="229"/>
      <c r="CB54" s="229"/>
      <c r="CC54" s="229"/>
      <c r="CD54" s="256" t="e">
        <f t="shared" ca="1" si="29"/>
        <v>#N/A</v>
      </c>
      <c r="CE54" s="564"/>
    </row>
    <row r="55" spans="2:83" ht="15.95">
      <c r="B55" s="569"/>
      <c r="C55" s="252" t="s">
        <v>232</v>
      </c>
      <c r="D55" s="253"/>
      <c r="E55" s="254">
        <f t="shared" ref="E55:BX55" si="30">SUM(E56:E62)</f>
        <v>0</v>
      </c>
      <c r="F55" s="254">
        <f t="shared" si="30"/>
        <v>0</v>
      </c>
      <c r="G55" s="254">
        <f t="shared" si="30"/>
        <v>0</v>
      </c>
      <c r="H55" s="254">
        <f t="shared" si="30"/>
        <v>0</v>
      </c>
      <c r="I55" s="254">
        <f t="shared" si="30"/>
        <v>0</v>
      </c>
      <c r="J55" s="254">
        <f t="shared" si="30"/>
        <v>0</v>
      </c>
      <c r="K55" s="254">
        <f t="shared" si="30"/>
        <v>0</v>
      </c>
      <c r="L55" s="254">
        <f t="shared" si="30"/>
        <v>0</v>
      </c>
      <c r="M55" s="254">
        <f t="shared" si="30"/>
        <v>0</v>
      </c>
      <c r="N55" s="254">
        <f t="shared" si="30"/>
        <v>0</v>
      </c>
      <c r="O55" s="254">
        <f t="shared" si="30"/>
        <v>0</v>
      </c>
      <c r="P55" s="254">
        <f t="shared" si="30"/>
        <v>0</v>
      </c>
      <c r="Q55" s="254">
        <f t="shared" si="30"/>
        <v>-113313</v>
      </c>
      <c r="R55" s="254">
        <f t="shared" si="30"/>
        <v>0</v>
      </c>
      <c r="S55" s="254">
        <f t="shared" si="30"/>
        <v>0</v>
      </c>
      <c r="T55" s="254">
        <f t="shared" si="30"/>
        <v>0</v>
      </c>
      <c r="U55" s="254">
        <f t="shared" si="30"/>
        <v>0</v>
      </c>
      <c r="V55" s="254">
        <f t="shared" si="30"/>
        <v>0</v>
      </c>
      <c r="W55" s="254">
        <f t="shared" si="30"/>
        <v>0</v>
      </c>
      <c r="X55" s="254">
        <f t="shared" si="30"/>
        <v>0</v>
      </c>
      <c r="Y55" s="254">
        <f t="shared" si="30"/>
        <v>0</v>
      </c>
      <c r="Z55" s="254">
        <f t="shared" si="30"/>
        <v>0</v>
      </c>
      <c r="AA55" s="254">
        <f t="shared" si="30"/>
        <v>0</v>
      </c>
      <c r="AB55" s="254">
        <f t="shared" si="30"/>
        <v>0</v>
      </c>
      <c r="AC55" s="254">
        <f t="shared" si="30"/>
        <v>-53333.333333333336</v>
      </c>
      <c r="AD55" s="254">
        <f t="shared" si="30"/>
        <v>-120000</v>
      </c>
      <c r="AE55" s="254">
        <f t="shared" si="30"/>
        <v>-186666.66666666666</v>
      </c>
      <c r="AF55" s="254">
        <f t="shared" si="30"/>
        <v>-253333.33333333334</v>
      </c>
      <c r="AG55" s="254">
        <f t="shared" si="30"/>
        <v>-320000</v>
      </c>
      <c r="AH55" s="254">
        <f t="shared" si="30"/>
        <v>-386666.66666666669</v>
      </c>
      <c r="AI55" s="254">
        <f t="shared" si="30"/>
        <v>-386666.66666666669</v>
      </c>
      <c r="AJ55" s="254">
        <f t="shared" si="30"/>
        <v>-4613382.4566666679</v>
      </c>
      <c r="AK55" s="254">
        <f t="shared" si="30"/>
        <v>0</v>
      </c>
      <c r="AL55" s="254">
        <f t="shared" si="30"/>
        <v>0</v>
      </c>
      <c r="AM55" s="254">
        <f t="shared" si="30"/>
        <v>0</v>
      </c>
      <c r="AN55" s="254">
        <f t="shared" si="30"/>
        <v>0</v>
      </c>
      <c r="AO55" s="254">
        <f t="shared" si="30"/>
        <v>0</v>
      </c>
      <c r="AP55" s="254">
        <f t="shared" si="30"/>
        <v>0</v>
      </c>
      <c r="AQ55" s="254">
        <f t="shared" si="30"/>
        <v>0</v>
      </c>
      <c r="AR55" s="254">
        <f t="shared" si="30"/>
        <v>0</v>
      </c>
      <c r="AS55" s="254">
        <f t="shared" si="30"/>
        <v>0</v>
      </c>
      <c r="AT55" s="254">
        <f t="shared" si="30"/>
        <v>0</v>
      </c>
      <c r="AU55" s="254">
        <f t="shared" si="30"/>
        <v>0</v>
      </c>
      <c r="AV55" s="254">
        <f t="shared" si="30"/>
        <v>0</v>
      </c>
      <c r="AW55" s="254">
        <f t="shared" si="30"/>
        <v>0</v>
      </c>
      <c r="AX55" s="254">
        <f t="shared" si="30"/>
        <v>0</v>
      </c>
      <c r="AY55" s="254">
        <f t="shared" si="30"/>
        <v>0</v>
      </c>
      <c r="AZ55" s="254">
        <f t="shared" si="30"/>
        <v>0</v>
      </c>
      <c r="BA55" s="254">
        <f t="shared" si="30"/>
        <v>0</v>
      </c>
      <c r="BB55" s="254">
        <f t="shared" si="30"/>
        <v>0</v>
      </c>
      <c r="BC55" s="254">
        <f t="shared" si="30"/>
        <v>0</v>
      </c>
      <c r="BD55" s="254">
        <f t="shared" si="30"/>
        <v>0</v>
      </c>
      <c r="BE55" s="254">
        <f t="shared" si="30"/>
        <v>0</v>
      </c>
      <c r="BF55" s="254">
        <f t="shared" si="30"/>
        <v>0</v>
      </c>
      <c r="BG55" s="254">
        <f t="shared" si="30"/>
        <v>0</v>
      </c>
      <c r="BH55" s="254">
        <f t="shared" si="30"/>
        <v>0</v>
      </c>
      <c r="BI55" s="254">
        <f t="shared" si="30"/>
        <v>0</v>
      </c>
      <c r="BJ55" s="254">
        <f t="shared" si="30"/>
        <v>0</v>
      </c>
      <c r="BK55" s="254">
        <f t="shared" si="30"/>
        <v>0</v>
      </c>
      <c r="BL55" s="254">
        <f t="shared" si="30"/>
        <v>0</v>
      </c>
      <c r="BM55" s="254">
        <f t="shared" si="30"/>
        <v>0</v>
      </c>
      <c r="BN55" s="254">
        <f t="shared" si="30"/>
        <v>0</v>
      </c>
      <c r="BO55" s="254">
        <f t="shared" si="30"/>
        <v>0</v>
      </c>
      <c r="BP55" s="254">
        <f t="shared" si="30"/>
        <v>0</v>
      </c>
      <c r="BQ55" s="254">
        <f t="shared" si="30"/>
        <v>0</v>
      </c>
      <c r="BR55" s="254">
        <f t="shared" si="30"/>
        <v>0</v>
      </c>
      <c r="BS55" s="254">
        <f t="shared" si="30"/>
        <v>0</v>
      </c>
      <c r="BT55" s="254">
        <f t="shared" si="30"/>
        <v>0</v>
      </c>
      <c r="BU55" s="254">
        <f t="shared" si="30"/>
        <v>0</v>
      </c>
      <c r="BV55" s="254">
        <f t="shared" si="30"/>
        <v>0</v>
      </c>
      <c r="BW55" s="254">
        <f t="shared" si="30"/>
        <v>0</v>
      </c>
      <c r="BX55" s="254">
        <f t="shared" si="30"/>
        <v>0</v>
      </c>
      <c r="BY55" s="256">
        <f>SUM(BY56:BY62)</f>
        <v>-6433362.1233333349</v>
      </c>
      <c r="BZ55" s="564"/>
      <c r="CA55" s="229"/>
      <c r="CB55" s="229"/>
      <c r="CC55" s="229"/>
      <c r="CD55" s="256" t="e">
        <f t="array" aca="1" ref="CD55" ca="1">SUM(INDEX(E55:BX55, , 1):INDEX(E55:BX55, ,MATCH($CD$4, $E$3:$BX$3,0) ))</f>
        <v>#N/A</v>
      </c>
      <c r="CE55" s="564"/>
    </row>
    <row r="56" spans="2:83" ht="15.95" outlineLevel="1">
      <c r="B56" s="569"/>
      <c r="C56" s="257" t="s">
        <v>233</v>
      </c>
      <c r="D56" s="274">
        <v>0.11</v>
      </c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>
        <f>-113313</f>
        <v>-113313</v>
      </c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59"/>
      <c r="AH56" s="259"/>
      <c r="AI56" s="259"/>
      <c r="AJ56" s="259">
        <f>-SUM(' Interest Calc'!E12:E43)-' Interest Calc'!E43</f>
        <v>-860897.51000000024</v>
      </c>
      <c r="AK56" s="259"/>
      <c r="AL56" s="259"/>
      <c r="AM56" s="259"/>
      <c r="AN56" s="259"/>
      <c r="AO56" s="259"/>
      <c r="AP56" s="259"/>
      <c r="AQ56" s="259"/>
      <c r="AR56" s="259"/>
      <c r="AS56" s="259"/>
      <c r="AT56" s="259"/>
      <c r="AU56" s="259"/>
      <c r="AV56" s="259"/>
      <c r="AW56" s="259"/>
      <c r="AX56" s="259"/>
      <c r="AY56" s="259"/>
      <c r="AZ56" s="259"/>
      <c r="BA56" s="259"/>
      <c r="BB56" s="259"/>
      <c r="BC56" s="259"/>
      <c r="BD56" s="259"/>
      <c r="BE56" s="259"/>
      <c r="BF56" s="259"/>
      <c r="BG56" s="259"/>
      <c r="BH56" s="259"/>
      <c r="BI56" s="259"/>
      <c r="BJ56" s="259"/>
      <c r="BK56" s="259"/>
      <c r="BL56" s="259"/>
      <c r="BM56" s="265"/>
      <c r="BN56" s="265"/>
      <c r="BO56" s="265"/>
      <c r="BP56" s="265"/>
      <c r="BQ56" s="265"/>
      <c r="BR56" s="265"/>
      <c r="BS56" s="265"/>
      <c r="BT56" s="265"/>
      <c r="BU56" s="265"/>
      <c r="BV56" s="265"/>
      <c r="BW56" s="265"/>
      <c r="BX56" s="265"/>
      <c r="BY56" s="275">
        <f t="shared" ref="BY56:BY62" si="31">SUM(E56:BX56)</f>
        <v>-974210.51000000024</v>
      </c>
      <c r="BZ56" s="564"/>
      <c r="CA56" s="229"/>
      <c r="CB56" s="229"/>
      <c r="CC56" s="229"/>
      <c r="CD56" s="256" t="e">
        <f t="shared" ref="CD56:CD59" ca="1" si="32">SUM(INDEX(AC56:BX56, , 1):INDEX(AC56:BX56, ,MATCH(CD11, E10:BX10,0) ))</f>
        <v>#N/A</v>
      </c>
      <c r="CE56" s="564"/>
    </row>
    <row r="57" spans="2:83" ht="15.95" outlineLevel="1">
      <c r="B57" s="569"/>
      <c r="C57" s="257" t="s">
        <v>234</v>
      </c>
      <c r="D57" s="274">
        <v>0.11</v>
      </c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/>
      <c r="AJ57" s="259">
        <f>-SUM(' Interest Calc'!J19:J39)-' Interest Calc'!J38</f>
        <v>-3365818.2800000012</v>
      </c>
      <c r="AK57" s="259"/>
      <c r="AL57" s="259"/>
      <c r="AM57" s="259"/>
      <c r="AN57" s="259"/>
      <c r="AO57" s="259"/>
      <c r="AP57" s="259"/>
      <c r="AQ57" s="259"/>
      <c r="AR57" s="259"/>
      <c r="AS57" s="259"/>
      <c r="AT57" s="259"/>
      <c r="AU57" s="259"/>
      <c r="AV57" s="259"/>
      <c r="AW57" s="259"/>
      <c r="AX57" s="259"/>
      <c r="AY57" s="259"/>
      <c r="AZ57" s="259"/>
      <c r="BA57" s="259"/>
      <c r="BB57" s="259"/>
      <c r="BC57" s="259"/>
      <c r="BD57" s="259"/>
      <c r="BE57" s="259"/>
      <c r="BF57" s="259"/>
      <c r="BG57" s="259"/>
      <c r="BH57" s="259"/>
      <c r="BI57" s="259"/>
      <c r="BJ57" s="259"/>
      <c r="BK57" s="259"/>
      <c r="BL57" s="259"/>
      <c r="BM57" s="265"/>
      <c r="BN57" s="265"/>
      <c r="BO57" s="265"/>
      <c r="BP57" s="265"/>
      <c r="BQ57" s="265"/>
      <c r="BR57" s="265"/>
      <c r="BS57" s="265"/>
      <c r="BT57" s="265"/>
      <c r="BU57" s="265"/>
      <c r="BV57" s="265"/>
      <c r="BW57" s="265"/>
      <c r="BX57" s="265"/>
      <c r="BY57" s="276">
        <f t="shared" si="31"/>
        <v>-3365818.2800000012</v>
      </c>
      <c r="BZ57" s="564"/>
      <c r="CA57" s="229"/>
      <c r="CB57" s="229"/>
      <c r="CC57" s="229"/>
      <c r="CD57" s="256" t="e">
        <f t="shared" ca="1" si="32"/>
        <v>#N/A</v>
      </c>
      <c r="CE57" s="564"/>
    </row>
    <row r="58" spans="2:83" ht="15.95" outlineLevel="1">
      <c r="B58" s="569"/>
      <c r="C58" s="257" t="s">
        <v>235</v>
      </c>
      <c r="D58" s="274">
        <v>0.105</v>
      </c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59"/>
      <c r="AN58" s="259"/>
      <c r="AO58" s="259"/>
      <c r="AP58" s="259"/>
      <c r="AQ58" s="259"/>
      <c r="AR58" s="259"/>
      <c r="AS58" s="259"/>
      <c r="AT58" s="259"/>
      <c r="AU58" s="259"/>
      <c r="AV58" s="259"/>
      <c r="AW58" s="259"/>
      <c r="AX58" s="259"/>
      <c r="AY58" s="259"/>
      <c r="AZ58" s="259"/>
      <c r="BA58" s="259"/>
      <c r="BB58" s="259"/>
      <c r="BC58" s="259"/>
      <c r="BD58" s="259"/>
      <c r="BE58" s="259"/>
      <c r="BF58" s="259"/>
      <c r="BG58" s="259"/>
      <c r="BH58" s="259"/>
      <c r="BI58" s="259"/>
      <c r="BJ58" s="259"/>
      <c r="BK58" s="259"/>
      <c r="BL58" s="259"/>
      <c r="BM58" s="265"/>
      <c r="BN58" s="265"/>
      <c r="BO58" s="265"/>
      <c r="BP58" s="265"/>
      <c r="BQ58" s="265"/>
      <c r="BR58" s="265"/>
      <c r="BS58" s="265"/>
      <c r="BT58" s="265"/>
      <c r="BU58" s="265"/>
      <c r="BV58" s="265"/>
      <c r="BW58" s="265"/>
      <c r="BX58" s="265"/>
      <c r="BY58" s="276">
        <f t="shared" si="31"/>
        <v>0</v>
      </c>
      <c r="BZ58" s="564"/>
      <c r="CA58" s="229"/>
      <c r="CB58" s="229"/>
      <c r="CC58" s="229"/>
      <c r="CD58" s="256" t="e">
        <f t="shared" ca="1" si="32"/>
        <v>#N/A</v>
      </c>
      <c r="CE58" s="564"/>
    </row>
    <row r="59" spans="2:83" ht="15.95" outlineLevel="1">
      <c r="B59" s="569"/>
      <c r="C59" s="257" t="s">
        <v>236</v>
      </c>
      <c r="D59" s="274">
        <v>0.105</v>
      </c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65"/>
      <c r="BN59" s="265"/>
      <c r="BO59" s="265"/>
      <c r="BP59" s="265"/>
      <c r="BQ59" s="265"/>
      <c r="BR59" s="265"/>
      <c r="BS59" s="265"/>
      <c r="BT59" s="265"/>
      <c r="BU59" s="265"/>
      <c r="BV59" s="265"/>
      <c r="BW59" s="265"/>
      <c r="BX59" s="265"/>
      <c r="BY59" s="276">
        <f t="shared" si="31"/>
        <v>0</v>
      </c>
      <c r="BZ59" s="564"/>
      <c r="CA59" s="229"/>
      <c r="CB59" s="229"/>
      <c r="CC59" s="229"/>
      <c r="CD59" s="256" t="e">
        <f t="shared" ca="1" si="32"/>
        <v>#N/A</v>
      </c>
      <c r="CE59" s="564"/>
    </row>
    <row r="60" spans="2:83" ht="15.95" outlineLevel="1">
      <c r="B60" s="569"/>
      <c r="C60" s="257" t="s">
        <v>237</v>
      </c>
      <c r="D60" s="274">
        <v>0.15</v>
      </c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65"/>
      <c r="BN60" s="265"/>
      <c r="BO60" s="265"/>
      <c r="BP60" s="265"/>
      <c r="BQ60" s="265"/>
      <c r="BR60" s="265"/>
      <c r="BS60" s="265"/>
      <c r="BT60" s="265"/>
      <c r="BU60" s="265"/>
      <c r="BV60" s="265"/>
      <c r="BW60" s="265"/>
      <c r="BX60" s="265"/>
      <c r="BY60" s="277">
        <f t="shared" si="31"/>
        <v>0</v>
      </c>
      <c r="BZ60" s="564"/>
      <c r="CA60" s="229"/>
      <c r="CB60" s="229"/>
      <c r="CC60" s="229"/>
      <c r="CD60" s="256" t="e">
        <f t="array" aca="1" ref="CD60" ca="1">SUM(INDEX(AC60:BX60, , 1):INDEX(AC60:BX60, ,MATCH(CD16, E14:BX14,0) ))</f>
        <v>#N/A</v>
      </c>
      <c r="CE60" s="564"/>
    </row>
    <row r="61" spans="2:83" ht="15.95" outlineLevel="1">
      <c r="B61" s="569"/>
      <c r="C61" s="257" t="s">
        <v>238</v>
      </c>
      <c r="D61" s="278">
        <f>25%/12</f>
        <v>2.0833333333333332E-2</v>
      </c>
      <c r="E61" s="262"/>
      <c r="F61" s="262"/>
      <c r="G61" s="262"/>
      <c r="H61" s="262"/>
      <c r="I61" s="262"/>
      <c r="J61" s="262"/>
      <c r="K61" s="262"/>
      <c r="L61" s="262"/>
      <c r="M61" s="262"/>
      <c r="N61" s="262"/>
      <c r="O61" s="262"/>
      <c r="P61" s="262"/>
      <c r="Q61" s="262"/>
      <c r="R61" s="262"/>
      <c r="S61" s="262"/>
      <c r="T61" s="262"/>
      <c r="U61" s="262"/>
      <c r="V61" s="262"/>
      <c r="W61" s="262"/>
      <c r="X61" s="262"/>
      <c r="Y61" s="262"/>
      <c r="Z61" s="262"/>
      <c r="AA61" s="262"/>
      <c r="AB61" s="262"/>
      <c r="AC61" s="262"/>
      <c r="AD61" s="262"/>
      <c r="AE61" s="262"/>
      <c r="AF61" s="262"/>
      <c r="AG61" s="262"/>
      <c r="AH61" s="262"/>
      <c r="AI61" s="262"/>
      <c r="AJ61" s="262"/>
      <c r="AK61" s="262"/>
      <c r="AL61" s="262"/>
      <c r="AM61" s="262"/>
      <c r="AN61" s="262"/>
      <c r="AO61" s="262"/>
      <c r="AP61" s="262"/>
      <c r="AQ61" s="262"/>
      <c r="AR61" s="262"/>
      <c r="AS61" s="262"/>
      <c r="AT61" s="262"/>
      <c r="AU61" s="262"/>
      <c r="AV61" s="262"/>
      <c r="AW61" s="262"/>
      <c r="AX61" s="262"/>
      <c r="AY61" s="262"/>
      <c r="AZ61" s="262"/>
      <c r="BA61" s="262"/>
      <c r="BB61" s="262"/>
      <c r="BC61" s="262"/>
      <c r="BD61" s="262"/>
      <c r="BE61" s="262"/>
      <c r="BF61" s="262"/>
      <c r="BG61" s="262"/>
      <c r="BH61" s="262"/>
      <c r="BI61" s="262"/>
      <c r="BJ61" s="262"/>
      <c r="BK61" s="262"/>
      <c r="BL61" s="259"/>
      <c r="BM61" s="265"/>
      <c r="BN61" s="265"/>
      <c r="BO61" s="265"/>
      <c r="BP61" s="265"/>
      <c r="BQ61" s="265"/>
      <c r="BR61" s="265"/>
      <c r="BS61" s="265"/>
      <c r="BT61" s="265"/>
      <c r="BU61" s="265"/>
      <c r="BV61" s="265"/>
      <c r="BW61" s="265"/>
      <c r="BX61" s="265"/>
      <c r="BY61" s="277">
        <f t="shared" si="31"/>
        <v>0</v>
      </c>
      <c r="BZ61" s="564"/>
      <c r="CA61" s="229"/>
      <c r="CB61" s="229"/>
      <c r="CC61" s="229"/>
      <c r="CD61" s="256" t="e">
        <f t="shared" ref="CD61:CD62" ca="1" si="33">SUM(INDEX(AC61:BX61, , 1):INDEX(AC61:BX61, ,MATCH(CD17, E16:BX16,0) ))</f>
        <v>#N/A</v>
      </c>
      <c r="CE61" s="564"/>
    </row>
    <row r="62" spans="2:83" ht="15.95" outlineLevel="1">
      <c r="B62" s="569"/>
      <c r="C62" s="279" t="s">
        <v>239</v>
      </c>
      <c r="D62" s="280">
        <v>0.08</v>
      </c>
      <c r="E62" s="281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>
        <f t="shared" ref="AA62:AC62" si="34">-AA11*$D$62/12</f>
        <v>0</v>
      </c>
      <c r="AB62" s="281">
        <f t="shared" si="34"/>
        <v>0</v>
      </c>
      <c r="AC62" s="281">
        <f t="shared" si="34"/>
        <v>-53333.333333333336</v>
      </c>
      <c r="AD62" s="281">
        <f t="shared" ref="AD62:AJ62" si="35">-SUM($AC$11:AD11)*$D$62/12</f>
        <v>-120000</v>
      </c>
      <c r="AE62" s="281">
        <f t="shared" si="35"/>
        <v>-186666.66666666666</v>
      </c>
      <c r="AF62" s="281">
        <f t="shared" si="35"/>
        <v>-253333.33333333334</v>
      </c>
      <c r="AG62" s="281">
        <f t="shared" si="35"/>
        <v>-320000</v>
      </c>
      <c r="AH62" s="281">
        <f t="shared" si="35"/>
        <v>-386666.66666666669</v>
      </c>
      <c r="AI62" s="281">
        <f t="shared" si="35"/>
        <v>-386666.66666666669</v>
      </c>
      <c r="AJ62" s="281">
        <f t="shared" si="35"/>
        <v>-386666.66666666669</v>
      </c>
      <c r="AK62" s="281"/>
      <c r="AL62" s="281"/>
      <c r="AM62" s="281"/>
      <c r="AN62" s="281"/>
      <c r="AO62" s="281"/>
      <c r="AP62" s="281"/>
      <c r="AQ62" s="281"/>
      <c r="AR62" s="281"/>
      <c r="AS62" s="281"/>
      <c r="AT62" s="281"/>
      <c r="AU62" s="281"/>
      <c r="AV62" s="281"/>
      <c r="AW62" s="281"/>
      <c r="AX62" s="281"/>
      <c r="AY62" s="281"/>
      <c r="AZ62" s="281"/>
      <c r="BA62" s="281"/>
      <c r="BB62" s="281"/>
      <c r="BC62" s="281"/>
      <c r="BD62" s="281"/>
      <c r="BE62" s="281"/>
      <c r="BF62" s="281"/>
      <c r="BG62" s="281"/>
      <c r="BH62" s="281"/>
      <c r="BI62" s="281"/>
      <c r="BJ62" s="281"/>
      <c r="BK62" s="281"/>
      <c r="BL62" s="281"/>
      <c r="BM62" s="282"/>
      <c r="BN62" s="282"/>
      <c r="BO62" s="282"/>
      <c r="BP62" s="282"/>
      <c r="BQ62" s="282"/>
      <c r="BR62" s="282"/>
      <c r="BS62" s="282"/>
      <c r="BT62" s="282"/>
      <c r="BU62" s="282"/>
      <c r="BV62" s="282"/>
      <c r="BW62" s="282"/>
      <c r="BX62" s="282"/>
      <c r="BY62" s="283">
        <f t="shared" si="31"/>
        <v>-2093333.3333333335</v>
      </c>
      <c r="BZ62" s="564"/>
      <c r="CA62" s="229"/>
      <c r="CB62" s="229"/>
      <c r="CC62" s="229"/>
      <c r="CD62" s="256" t="e">
        <f t="shared" ca="1" si="33"/>
        <v>#N/A</v>
      </c>
      <c r="CE62" s="564"/>
    </row>
    <row r="63" spans="2:83" ht="15.95" collapsed="1">
      <c r="B63" s="569"/>
      <c r="C63" s="252" t="s">
        <v>240</v>
      </c>
      <c r="D63" s="253"/>
      <c r="E63" s="254">
        <f t="shared" ref="E63:BY63" si="36">SUM(E64:E70)</f>
        <v>0</v>
      </c>
      <c r="F63" s="254">
        <f t="shared" si="36"/>
        <v>0</v>
      </c>
      <c r="G63" s="254">
        <f t="shared" si="36"/>
        <v>0</v>
      </c>
      <c r="H63" s="254">
        <f t="shared" si="36"/>
        <v>0</v>
      </c>
      <c r="I63" s="254">
        <f t="shared" si="36"/>
        <v>0</v>
      </c>
      <c r="J63" s="254">
        <f t="shared" si="36"/>
        <v>0</v>
      </c>
      <c r="K63" s="254">
        <f t="shared" si="36"/>
        <v>0</v>
      </c>
      <c r="L63" s="254">
        <f t="shared" si="36"/>
        <v>0</v>
      </c>
      <c r="M63" s="254">
        <f t="shared" si="36"/>
        <v>0</v>
      </c>
      <c r="N63" s="254">
        <f t="shared" si="36"/>
        <v>0</v>
      </c>
      <c r="O63" s="254">
        <f t="shared" si="36"/>
        <v>0</v>
      </c>
      <c r="P63" s="254">
        <f t="shared" si="36"/>
        <v>0</v>
      </c>
      <c r="Q63" s="254">
        <f t="shared" si="36"/>
        <v>0</v>
      </c>
      <c r="R63" s="254">
        <f t="shared" si="36"/>
        <v>0</v>
      </c>
      <c r="S63" s="254">
        <f t="shared" si="36"/>
        <v>0</v>
      </c>
      <c r="T63" s="254">
        <f t="shared" si="36"/>
        <v>0</v>
      </c>
      <c r="U63" s="254">
        <f t="shared" si="36"/>
        <v>0</v>
      </c>
      <c r="V63" s="254">
        <f t="shared" si="36"/>
        <v>0</v>
      </c>
      <c r="W63" s="254">
        <f t="shared" si="36"/>
        <v>0</v>
      </c>
      <c r="X63" s="254">
        <f t="shared" si="36"/>
        <v>0</v>
      </c>
      <c r="Y63" s="254">
        <f t="shared" si="36"/>
        <v>0</v>
      </c>
      <c r="Z63" s="254">
        <f t="shared" si="36"/>
        <v>0</v>
      </c>
      <c r="AA63" s="254">
        <f t="shared" si="36"/>
        <v>0</v>
      </c>
      <c r="AB63" s="254">
        <f t="shared" si="36"/>
        <v>0</v>
      </c>
      <c r="AC63" s="254">
        <f t="shared" si="36"/>
        <v>0</v>
      </c>
      <c r="AD63" s="254">
        <f t="shared" si="36"/>
        <v>0</v>
      </c>
      <c r="AE63" s="254">
        <f t="shared" si="36"/>
        <v>0</v>
      </c>
      <c r="AF63" s="254">
        <f t="shared" si="36"/>
        <v>0</v>
      </c>
      <c r="AG63" s="254">
        <f t="shared" si="36"/>
        <v>0</v>
      </c>
      <c r="AH63" s="254">
        <f t="shared" si="36"/>
        <v>0</v>
      </c>
      <c r="AI63" s="254">
        <f t="shared" si="36"/>
        <v>-49937.5</v>
      </c>
      <c r="AJ63" s="254">
        <f t="shared" si="36"/>
        <v>-1180921.6428571427</v>
      </c>
      <c r="AK63" s="254">
        <f t="shared" si="36"/>
        <v>0</v>
      </c>
      <c r="AL63" s="254">
        <f t="shared" si="36"/>
        <v>0</v>
      </c>
      <c r="AM63" s="254">
        <f t="shared" si="36"/>
        <v>0</v>
      </c>
      <c r="AN63" s="254">
        <f t="shared" si="36"/>
        <v>0</v>
      </c>
      <c r="AO63" s="254">
        <f t="shared" si="36"/>
        <v>0</v>
      </c>
      <c r="AP63" s="254">
        <f t="shared" si="36"/>
        <v>0</v>
      </c>
      <c r="AQ63" s="254">
        <f t="shared" si="36"/>
        <v>0</v>
      </c>
      <c r="AR63" s="254">
        <f t="shared" si="36"/>
        <v>0</v>
      </c>
      <c r="AS63" s="254">
        <f t="shared" si="36"/>
        <v>0</v>
      </c>
      <c r="AT63" s="254">
        <f t="shared" si="36"/>
        <v>0</v>
      </c>
      <c r="AU63" s="254">
        <f t="shared" si="36"/>
        <v>0</v>
      </c>
      <c r="AV63" s="254">
        <f t="shared" si="36"/>
        <v>0</v>
      </c>
      <c r="AW63" s="254">
        <f t="shared" si="36"/>
        <v>0</v>
      </c>
      <c r="AX63" s="254">
        <f t="shared" si="36"/>
        <v>0</v>
      </c>
      <c r="AY63" s="254">
        <f t="shared" si="36"/>
        <v>0</v>
      </c>
      <c r="AZ63" s="254">
        <f t="shared" si="36"/>
        <v>0</v>
      </c>
      <c r="BA63" s="254">
        <f t="shared" si="36"/>
        <v>0</v>
      </c>
      <c r="BB63" s="254">
        <f t="shared" si="36"/>
        <v>0</v>
      </c>
      <c r="BC63" s="254">
        <f t="shared" si="36"/>
        <v>0</v>
      </c>
      <c r="BD63" s="254">
        <f t="shared" si="36"/>
        <v>0</v>
      </c>
      <c r="BE63" s="254">
        <f t="shared" si="36"/>
        <v>0</v>
      </c>
      <c r="BF63" s="254">
        <f t="shared" si="36"/>
        <v>0</v>
      </c>
      <c r="BG63" s="254">
        <f t="shared" si="36"/>
        <v>0</v>
      </c>
      <c r="BH63" s="254">
        <f t="shared" si="36"/>
        <v>0</v>
      </c>
      <c r="BI63" s="254">
        <f t="shared" si="36"/>
        <v>0</v>
      </c>
      <c r="BJ63" s="254">
        <f t="shared" si="36"/>
        <v>0</v>
      </c>
      <c r="BK63" s="254">
        <f t="shared" si="36"/>
        <v>0</v>
      </c>
      <c r="BL63" s="254">
        <f t="shared" si="36"/>
        <v>0</v>
      </c>
      <c r="BM63" s="254">
        <f t="shared" si="36"/>
        <v>0</v>
      </c>
      <c r="BN63" s="254">
        <f t="shared" si="36"/>
        <v>0</v>
      </c>
      <c r="BO63" s="254">
        <f t="shared" si="36"/>
        <v>0</v>
      </c>
      <c r="BP63" s="254">
        <f t="shared" si="36"/>
        <v>0</v>
      </c>
      <c r="BQ63" s="254">
        <f t="shared" si="36"/>
        <v>0</v>
      </c>
      <c r="BR63" s="254">
        <f t="shared" si="36"/>
        <v>0</v>
      </c>
      <c r="BS63" s="254">
        <f t="shared" si="36"/>
        <v>0</v>
      </c>
      <c r="BT63" s="254">
        <f t="shared" si="36"/>
        <v>0</v>
      </c>
      <c r="BU63" s="254">
        <f t="shared" si="36"/>
        <v>0</v>
      </c>
      <c r="BV63" s="254">
        <f t="shared" si="36"/>
        <v>0</v>
      </c>
      <c r="BW63" s="254">
        <f t="shared" si="36"/>
        <v>0</v>
      </c>
      <c r="BX63" s="254">
        <f t="shared" si="36"/>
        <v>0</v>
      </c>
      <c r="BY63" s="255">
        <f t="shared" si="36"/>
        <v>-1230859.1428571427</v>
      </c>
      <c r="BZ63" s="564"/>
      <c r="CA63" s="229"/>
      <c r="CB63" s="229"/>
      <c r="CC63" s="229"/>
      <c r="CD63" s="256" t="e">
        <f t="array" aca="1" ref="CD63" ca="1">SUM(INDEX(E63:BX63, , 1):INDEX(E63:BX63, ,MATCH($CD$4, $E$3:$BX$3,0) ))</f>
        <v>#N/A</v>
      </c>
      <c r="CE63" s="564"/>
    </row>
    <row r="64" spans="2:83" ht="15.95" hidden="1" outlineLevel="1">
      <c r="B64" s="569"/>
      <c r="C64" s="284" t="s">
        <v>83</v>
      </c>
      <c r="D64" s="258" t="s">
        <v>191</v>
      </c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>
        <f>-Businessplan_prodej!$N$21/12</f>
        <v>-49937.5</v>
      </c>
      <c r="AJ64" s="285">
        <f>-Businessplan_prodej!$N$21/12</f>
        <v>-49937.5</v>
      </c>
      <c r="AK64" s="285"/>
      <c r="AL64" s="285"/>
      <c r="AM64" s="285"/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6">
        <f t="shared" ref="BY64:BY70" si="37">SUM(E64:BX64)</f>
        <v>-99875</v>
      </c>
      <c r="BZ64" s="564"/>
      <c r="CA64" s="229"/>
      <c r="CB64" s="229"/>
      <c r="CC64" s="229"/>
      <c r="CD64" s="256" t="e">
        <f t="shared" ref="CD64:CD69" ca="1" si="38">SUM(INDEX(AC64:BX64, , 1):INDEX(AC64:BX64, ,MATCH(CD37, E36:BX36,0) ))</f>
        <v>#REF!</v>
      </c>
      <c r="CE64" s="564"/>
    </row>
    <row r="65" spans="2:83" ht="15.95" hidden="1" outlineLevel="1">
      <c r="B65" s="569"/>
      <c r="C65" s="284" t="s">
        <v>242</v>
      </c>
      <c r="D65" s="258" t="s">
        <v>191</v>
      </c>
      <c r="E65" s="285"/>
      <c r="F65" s="285"/>
      <c r="G65" s="285"/>
      <c r="H65" s="285"/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5"/>
      <c r="Z65" s="285"/>
      <c r="AA65" s="285"/>
      <c r="AB65" s="285"/>
      <c r="AC65" s="285"/>
      <c r="AD65" s="285"/>
      <c r="AE65" s="285"/>
      <c r="AF65" s="285"/>
      <c r="AG65" s="285"/>
      <c r="AH65" s="285"/>
      <c r="AI65" s="285"/>
      <c r="AJ65" s="285"/>
      <c r="AK65" s="285"/>
      <c r="AL65" s="285"/>
      <c r="AM65" s="285"/>
      <c r="AN65" s="285"/>
      <c r="AO65" s="285"/>
      <c r="AP65" s="285"/>
      <c r="AQ65" s="285"/>
      <c r="AR65" s="285"/>
      <c r="AS65" s="285"/>
      <c r="AT65" s="285"/>
      <c r="AU65" s="285"/>
      <c r="AV65" s="285"/>
      <c r="AW65" s="285"/>
      <c r="AX65" s="285"/>
      <c r="AY65" s="285"/>
      <c r="AZ65" s="285"/>
      <c r="BA65" s="285"/>
      <c r="BB65" s="285"/>
      <c r="BC65" s="285"/>
      <c r="BD65" s="285"/>
      <c r="BE65" s="285"/>
      <c r="BF65" s="285"/>
      <c r="BG65" s="285"/>
      <c r="BH65" s="285"/>
      <c r="BI65" s="285"/>
      <c r="BJ65" s="285"/>
      <c r="BK65" s="285"/>
      <c r="BL65" s="285"/>
      <c r="BM65" s="285"/>
      <c r="BN65" s="285"/>
      <c r="BO65" s="285"/>
      <c r="BP65" s="285"/>
      <c r="BQ65" s="285"/>
      <c r="BR65" s="285"/>
      <c r="BS65" s="285"/>
      <c r="BT65" s="285"/>
      <c r="BU65" s="285"/>
      <c r="BV65" s="285"/>
      <c r="BW65" s="285"/>
      <c r="BX65" s="285"/>
      <c r="BY65" s="286">
        <f t="shared" si="37"/>
        <v>0</v>
      </c>
      <c r="BZ65" s="564"/>
      <c r="CA65" s="229"/>
      <c r="CB65" s="229"/>
      <c r="CC65" s="229"/>
      <c r="CD65" s="256" t="e">
        <f t="shared" ca="1" si="38"/>
        <v>#REF!</v>
      </c>
      <c r="CE65" s="564"/>
    </row>
    <row r="66" spans="2:83" ht="15.95" hidden="1" outlineLevel="1">
      <c r="B66" s="569"/>
      <c r="C66" s="287" t="s">
        <v>222</v>
      </c>
      <c r="D66" s="258" t="s">
        <v>191</v>
      </c>
      <c r="E66" s="285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259"/>
      <c r="BV66" s="259"/>
      <c r="BW66" s="259"/>
      <c r="BX66" s="259"/>
      <c r="BY66" s="286">
        <f t="shared" si="37"/>
        <v>0</v>
      </c>
      <c r="BZ66" s="564"/>
      <c r="CA66" s="229"/>
      <c r="CB66" s="229"/>
      <c r="CC66" s="229"/>
      <c r="CD66" s="256" t="e">
        <f t="shared" ca="1" si="38"/>
        <v>#N/A</v>
      </c>
      <c r="CE66" s="564"/>
    </row>
    <row r="67" spans="2:83" ht="15.95" hidden="1" outlineLevel="1">
      <c r="B67" s="569"/>
      <c r="C67" s="284" t="s">
        <v>223</v>
      </c>
      <c r="D67" s="258" t="s">
        <v>191</v>
      </c>
      <c r="E67" s="285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259"/>
      <c r="AO67" s="259"/>
      <c r="AP67" s="259"/>
      <c r="AQ67" s="259"/>
      <c r="AR67" s="259"/>
      <c r="AS67" s="259"/>
      <c r="AT67" s="259"/>
      <c r="AU67" s="259"/>
      <c r="AV67" s="259"/>
      <c r="AW67" s="259"/>
      <c r="AX67" s="259"/>
      <c r="AY67" s="259"/>
      <c r="AZ67" s="259"/>
      <c r="BA67" s="259"/>
      <c r="BB67" s="259"/>
      <c r="BC67" s="259"/>
      <c r="BD67" s="259"/>
      <c r="BE67" s="259"/>
      <c r="BF67" s="259"/>
      <c r="BG67" s="259"/>
      <c r="BH67" s="259"/>
      <c r="BI67" s="259"/>
      <c r="BJ67" s="259"/>
      <c r="BK67" s="259"/>
      <c r="BL67" s="259"/>
      <c r="BM67" s="259"/>
      <c r="BN67" s="259"/>
      <c r="BO67" s="259"/>
      <c r="BP67" s="259"/>
      <c r="BQ67" s="259"/>
      <c r="BR67" s="259"/>
      <c r="BS67" s="259"/>
      <c r="BT67" s="259"/>
      <c r="BU67" s="259"/>
      <c r="BV67" s="259"/>
      <c r="BW67" s="259"/>
      <c r="BX67" s="259"/>
      <c r="BY67" s="286">
        <f t="shared" si="37"/>
        <v>0</v>
      </c>
      <c r="BZ67" s="564"/>
      <c r="CA67" s="229"/>
      <c r="CB67" s="229"/>
      <c r="CC67" s="229"/>
      <c r="CD67" s="256" t="e">
        <f t="shared" ca="1" si="38"/>
        <v>#REF!</v>
      </c>
      <c r="CE67" s="564"/>
    </row>
    <row r="68" spans="2:83" ht="15.95" hidden="1" outlineLevel="1">
      <c r="B68" s="569"/>
      <c r="C68" s="284" t="s">
        <v>230</v>
      </c>
      <c r="D68" s="258" t="s">
        <v>191</v>
      </c>
      <c r="E68" s="285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259"/>
      <c r="AO68" s="259"/>
      <c r="AP68" s="259"/>
      <c r="AQ68" s="259"/>
      <c r="AR68" s="259"/>
      <c r="AS68" s="259"/>
      <c r="AT68" s="259"/>
      <c r="AU68" s="259"/>
      <c r="AV68" s="259"/>
      <c r="AW68" s="259"/>
      <c r="AX68" s="259"/>
      <c r="AY68" s="259"/>
      <c r="AZ68" s="259"/>
      <c r="BA68" s="259"/>
      <c r="BB68" s="259"/>
      <c r="BC68" s="259"/>
      <c r="BD68" s="259"/>
      <c r="BE68" s="259"/>
      <c r="BF68" s="259"/>
      <c r="BG68" s="259"/>
      <c r="BH68" s="259"/>
      <c r="BI68" s="259"/>
      <c r="BJ68" s="259"/>
      <c r="BK68" s="259"/>
      <c r="BL68" s="259"/>
      <c r="BM68" s="259"/>
      <c r="BN68" s="259"/>
      <c r="BO68" s="259"/>
      <c r="BP68" s="259"/>
      <c r="BQ68" s="259"/>
      <c r="BR68" s="259"/>
      <c r="BS68" s="259"/>
      <c r="BT68" s="259"/>
      <c r="BU68" s="259"/>
      <c r="BV68" s="259"/>
      <c r="BW68" s="259"/>
      <c r="BX68" s="259"/>
      <c r="BY68" s="286">
        <f t="shared" si="37"/>
        <v>0</v>
      </c>
      <c r="BZ68" s="564"/>
      <c r="CA68" s="229"/>
      <c r="CB68" s="229"/>
      <c r="CC68" s="229"/>
      <c r="CD68" s="256" t="e">
        <f t="shared" ca="1" si="38"/>
        <v>#REF!</v>
      </c>
      <c r="CE68" s="564"/>
    </row>
    <row r="69" spans="2:83" ht="15.95" hidden="1" outlineLevel="1">
      <c r="B69" s="569"/>
      <c r="C69" s="284" t="s">
        <v>231</v>
      </c>
      <c r="D69" s="258" t="s">
        <v>191</v>
      </c>
      <c r="E69" s="285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59"/>
      <c r="S69" s="259"/>
      <c r="T69" s="259"/>
      <c r="U69" s="259"/>
      <c r="V69" s="259"/>
      <c r="W69" s="259"/>
      <c r="X69" s="259"/>
      <c r="Y69" s="259"/>
      <c r="Z69" s="259"/>
      <c r="AA69" s="259"/>
      <c r="AB69" s="259"/>
      <c r="AC69" s="259"/>
      <c r="AD69" s="259"/>
      <c r="AE69" s="259"/>
      <c r="AF69" s="259"/>
      <c r="AG69" s="259"/>
      <c r="AH69" s="259"/>
      <c r="AI69" s="259"/>
      <c r="AJ69" s="259"/>
      <c r="AK69" s="259"/>
      <c r="AL69" s="259"/>
      <c r="AM69" s="259"/>
      <c r="AN69" s="259"/>
      <c r="AO69" s="259"/>
      <c r="AP69" s="259"/>
      <c r="AQ69" s="259"/>
      <c r="AR69" s="259"/>
      <c r="AS69" s="259"/>
      <c r="AT69" s="259"/>
      <c r="AU69" s="259"/>
      <c r="AV69" s="259"/>
      <c r="AW69" s="259"/>
      <c r="AX69" s="259"/>
      <c r="AY69" s="259"/>
      <c r="AZ69" s="259"/>
      <c r="BA69" s="259"/>
      <c r="BB69" s="259"/>
      <c r="BC69" s="259"/>
      <c r="BD69" s="259"/>
      <c r="BE69" s="259"/>
      <c r="BF69" s="259"/>
      <c r="BG69" s="259"/>
      <c r="BH69" s="259"/>
      <c r="BI69" s="259"/>
      <c r="BJ69" s="259"/>
      <c r="BK69" s="259"/>
      <c r="BL69" s="259"/>
      <c r="BM69" s="259"/>
      <c r="BN69" s="259"/>
      <c r="BO69" s="259"/>
      <c r="BP69" s="259"/>
      <c r="BQ69" s="259"/>
      <c r="BR69" s="259"/>
      <c r="BS69" s="259"/>
      <c r="BT69" s="259"/>
      <c r="BU69" s="259"/>
      <c r="BV69" s="259"/>
      <c r="BW69" s="259"/>
      <c r="BX69" s="259"/>
      <c r="BY69" s="286">
        <f t="shared" si="37"/>
        <v>0</v>
      </c>
      <c r="BZ69" s="564"/>
      <c r="CA69" s="229"/>
      <c r="CB69" s="229"/>
      <c r="CC69" s="229"/>
      <c r="CD69" s="256" t="e">
        <f t="shared" ca="1" si="38"/>
        <v>#REF!</v>
      </c>
      <c r="CE69" s="564"/>
    </row>
    <row r="70" spans="2:83" ht="15.95" hidden="1" outlineLevel="1">
      <c r="B70" s="569"/>
      <c r="C70" s="288" t="s">
        <v>243</v>
      </c>
      <c r="D70" s="261" t="s">
        <v>191</v>
      </c>
      <c r="E70" s="289"/>
      <c r="F70" s="289"/>
      <c r="G70" s="289"/>
      <c r="H70" s="289"/>
      <c r="I70" s="289"/>
      <c r="J70" s="289"/>
      <c r="K70" s="289"/>
      <c r="L70" s="289"/>
      <c r="M70" s="289"/>
      <c r="N70" s="289"/>
      <c r="O70" s="289"/>
      <c r="P70" s="289"/>
      <c r="Q70" s="289"/>
      <c r="R70" s="289"/>
      <c r="S70" s="289"/>
      <c r="T70" s="289"/>
      <c r="U70" s="289"/>
      <c r="V70" s="289"/>
      <c r="W70" s="289"/>
      <c r="X70" s="289"/>
      <c r="Y70" s="289"/>
      <c r="Z70" s="289"/>
      <c r="AA70" s="289"/>
      <c r="AB70" s="289"/>
      <c r="AC70" s="289"/>
      <c r="AD70" s="289"/>
      <c r="AE70" s="289"/>
      <c r="AF70" s="289"/>
      <c r="AG70" s="289"/>
      <c r="AH70" s="289"/>
      <c r="AI70" s="289"/>
      <c r="AJ70" s="289">
        <f>Businessplan_prodej!$N$24</f>
        <v>-1130984.1428571427</v>
      </c>
      <c r="AK70" s="289"/>
      <c r="AL70" s="289"/>
      <c r="AM70" s="289"/>
      <c r="AN70" s="289"/>
      <c r="AO70" s="289"/>
      <c r="AP70" s="289"/>
      <c r="AQ70" s="289"/>
      <c r="AR70" s="289"/>
      <c r="AS70" s="289"/>
      <c r="AT70" s="289"/>
      <c r="AU70" s="289"/>
      <c r="AV70" s="289"/>
      <c r="AW70" s="289"/>
      <c r="AX70" s="289"/>
      <c r="AY70" s="289"/>
      <c r="AZ70" s="289"/>
      <c r="BA70" s="289"/>
      <c r="BB70" s="289"/>
      <c r="BC70" s="289"/>
      <c r="BD70" s="289"/>
      <c r="BE70" s="289"/>
      <c r="BF70" s="289"/>
      <c r="BG70" s="289"/>
      <c r="BH70" s="289"/>
      <c r="BI70" s="289"/>
      <c r="BJ70" s="289"/>
      <c r="BK70" s="289"/>
      <c r="BL70" s="289"/>
      <c r="BM70" s="289"/>
      <c r="BN70" s="289"/>
      <c r="BO70" s="289"/>
      <c r="BP70" s="289"/>
      <c r="BQ70" s="289"/>
      <c r="BR70" s="289"/>
      <c r="BS70" s="289"/>
      <c r="BT70" s="289"/>
      <c r="BU70" s="289"/>
      <c r="BV70" s="289"/>
      <c r="BW70" s="289"/>
      <c r="BX70" s="289"/>
      <c r="BY70" s="286">
        <f t="shared" si="37"/>
        <v>-1130984.1428571427</v>
      </c>
      <c r="BZ70" s="564"/>
      <c r="CA70" s="229"/>
      <c r="CB70" s="229"/>
      <c r="CC70" s="229"/>
      <c r="CD70" s="256" t="e">
        <f t="array" aca="1" ref="CD70" ca="1">SUM(INDEX(AC70:BX70, , 1):INDEX(AC70:BX70, ,MATCH(CD44, E42:BX42,0) ))</f>
        <v>#REF!</v>
      </c>
      <c r="CE70" s="564"/>
    </row>
    <row r="71" spans="2:83" ht="15.95" collapsed="1">
      <c r="B71" s="569"/>
      <c r="C71" s="252" t="s">
        <v>244</v>
      </c>
      <c r="D71" s="253"/>
      <c r="E71" s="254">
        <f t="shared" ref="E71:BY71" si="39">SUM(E72:E73)</f>
        <v>0</v>
      </c>
      <c r="F71" s="254">
        <f t="shared" si="39"/>
        <v>0</v>
      </c>
      <c r="G71" s="254">
        <f t="shared" si="39"/>
        <v>0</v>
      </c>
      <c r="H71" s="254">
        <f t="shared" si="39"/>
        <v>0</v>
      </c>
      <c r="I71" s="254">
        <f t="shared" si="39"/>
        <v>0</v>
      </c>
      <c r="J71" s="254">
        <f t="shared" si="39"/>
        <v>0</v>
      </c>
      <c r="K71" s="254">
        <f t="shared" si="39"/>
        <v>0</v>
      </c>
      <c r="L71" s="254">
        <f t="shared" si="39"/>
        <v>0</v>
      </c>
      <c r="M71" s="254">
        <f t="shared" si="39"/>
        <v>0</v>
      </c>
      <c r="N71" s="254">
        <f t="shared" si="39"/>
        <v>0</v>
      </c>
      <c r="O71" s="254">
        <f t="shared" si="39"/>
        <v>0</v>
      </c>
      <c r="P71" s="254">
        <f t="shared" si="39"/>
        <v>0</v>
      </c>
      <c r="Q71" s="254">
        <f t="shared" si="39"/>
        <v>0</v>
      </c>
      <c r="R71" s="254">
        <f t="shared" si="39"/>
        <v>0</v>
      </c>
      <c r="S71" s="254">
        <f t="shared" si="39"/>
        <v>0</v>
      </c>
      <c r="T71" s="254">
        <f t="shared" si="39"/>
        <v>0</v>
      </c>
      <c r="U71" s="254">
        <f t="shared" si="39"/>
        <v>0</v>
      </c>
      <c r="V71" s="254">
        <f t="shared" si="39"/>
        <v>0</v>
      </c>
      <c r="W71" s="254">
        <f t="shared" si="39"/>
        <v>0</v>
      </c>
      <c r="X71" s="254">
        <f t="shared" si="39"/>
        <v>0</v>
      </c>
      <c r="Y71" s="254">
        <f t="shared" si="39"/>
        <v>0</v>
      </c>
      <c r="Z71" s="254">
        <f t="shared" si="39"/>
        <v>0</v>
      </c>
      <c r="AA71" s="254">
        <f t="shared" si="39"/>
        <v>0</v>
      </c>
      <c r="AB71" s="254">
        <f t="shared" si="39"/>
        <v>0</v>
      </c>
      <c r="AC71" s="254">
        <f t="shared" si="39"/>
        <v>0</v>
      </c>
      <c r="AD71" s="254">
        <f t="shared" si="39"/>
        <v>0</v>
      </c>
      <c r="AE71" s="254">
        <f t="shared" si="39"/>
        <v>0</v>
      </c>
      <c r="AF71" s="254">
        <f t="shared" si="39"/>
        <v>0</v>
      </c>
      <c r="AG71" s="254">
        <f t="shared" si="39"/>
        <v>0</v>
      </c>
      <c r="AH71" s="254">
        <f t="shared" si="39"/>
        <v>0</v>
      </c>
      <c r="AI71" s="254">
        <f t="shared" si="39"/>
        <v>0</v>
      </c>
      <c r="AJ71" s="254">
        <f t="shared" si="39"/>
        <v>0</v>
      </c>
      <c r="AK71" s="254">
        <f t="shared" si="39"/>
        <v>0</v>
      </c>
      <c r="AL71" s="254">
        <f t="shared" si="39"/>
        <v>0</v>
      </c>
      <c r="AM71" s="254">
        <f t="shared" si="39"/>
        <v>0</v>
      </c>
      <c r="AN71" s="254">
        <f t="shared" si="39"/>
        <v>0</v>
      </c>
      <c r="AO71" s="254">
        <f t="shared" si="39"/>
        <v>0</v>
      </c>
      <c r="AP71" s="254">
        <f t="shared" si="39"/>
        <v>0</v>
      </c>
      <c r="AQ71" s="254">
        <f t="shared" si="39"/>
        <v>0</v>
      </c>
      <c r="AR71" s="254">
        <f t="shared" si="39"/>
        <v>0</v>
      </c>
      <c r="AS71" s="254">
        <f t="shared" si="39"/>
        <v>0</v>
      </c>
      <c r="AT71" s="254">
        <f t="shared" si="39"/>
        <v>0</v>
      </c>
      <c r="AU71" s="254">
        <f t="shared" si="39"/>
        <v>0</v>
      </c>
      <c r="AV71" s="254">
        <f t="shared" si="39"/>
        <v>0</v>
      </c>
      <c r="AW71" s="254">
        <f t="shared" si="39"/>
        <v>0</v>
      </c>
      <c r="AX71" s="254">
        <f t="shared" si="39"/>
        <v>0</v>
      </c>
      <c r="AY71" s="254">
        <f t="shared" si="39"/>
        <v>0</v>
      </c>
      <c r="AZ71" s="254">
        <f t="shared" si="39"/>
        <v>0</v>
      </c>
      <c r="BA71" s="254">
        <f t="shared" si="39"/>
        <v>0</v>
      </c>
      <c r="BB71" s="254">
        <f t="shared" si="39"/>
        <v>0</v>
      </c>
      <c r="BC71" s="254">
        <f t="shared" si="39"/>
        <v>0</v>
      </c>
      <c r="BD71" s="254">
        <f t="shared" si="39"/>
        <v>0</v>
      </c>
      <c r="BE71" s="254">
        <f t="shared" si="39"/>
        <v>0</v>
      </c>
      <c r="BF71" s="254">
        <f t="shared" si="39"/>
        <v>0</v>
      </c>
      <c r="BG71" s="254">
        <f t="shared" si="39"/>
        <v>0</v>
      </c>
      <c r="BH71" s="254">
        <f t="shared" si="39"/>
        <v>0</v>
      </c>
      <c r="BI71" s="254">
        <f t="shared" si="39"/>
        <v>0</v>
      </c>
      <c r="BJ71" s="254">
        <f t="shared" si="39"/>
        <v>0</v>
      </c>
      <c r="BK71" s="254">
        <f t="shared" si="39"/>
        <v>0</v>
      </c>
      <c r="BL71" s="254">
        <f t="shared" si="39"/>
        <v>0</v>
      </c>
      <c r="BM71" s="254">
        <f t="shared" si="39"/>
        <v>0</v>
      </c>
      <c r="BN71" s="254">
        <f t="shared" si="39"/>
        <v>0</v>
      </c>
      <c r="BO71" s="254">
        <f t="shared" si="39"/>
        <v>0</v>
      </c>
      <c r="BP71" s="254">
        <f t="shared" si="39"/>
        <v>0</v>
      </c>
      <c r="BQ71" s="254">
        <f t="shared" si="39"/>
        <v>0</v>
      </c>
      <c r="BR71" s="254">
        <f t="shared" si="39"/>
        <v>0</v>
      </c>
      <c r="BS71" s="254">
        <f t="shared" si="39"/>
        <v>0</v>
      </c>
      <c r="BT71" s="254">
        <f t="shared" si="39"/>
        <v>0</v>
      </c>
      <c r="BU71" s="254">
        <f t="shared" si="39"/>
        <v>0</v>
      </c>
      <c r="BV71" s="254">
        <f t="shared" si="39"/>
        <v>0</v>
      </c>
      <c r="BW71" s="254">
        <f t="shared" si="39"/>
        <v>0</v>
      </c>
      <c r="BX71" s="254">
        <f t="shared" si="39"/>
        <v>0</v>
      </c>
      <c r="BY71" s="255">
        <f t="shared" si="39"/>
        <v>0</v>
      </c>
      <c r="BZ71" s="564"/>
      <c r="CA71" s="229"/>
      <c r="CB71" s="229"/>
      <c r="CC71" s="229"/>
      <c r="CD71" s="256" t="e">
        <f t="array" aca="1" ref="CD71" ca="1">SUM(INDEX(E71:BX71, , 1):INDEX(E71:BX71, ,MATCH($CD$4, $E$3:$BX$3,0) ))</f>
        <v>#N/A</v>
      </c>
      <c r="CE71" s="564"/>
    </row>
    <row r="72" spans="2:83" ht="15.95" hidden="1" outlineLevel="1">
      <c r="B72" s="569"/>
      <c r="C72" s="290" t="s">
        <v>245</v>
      </c>
      <c r="D72" s="258" t="s">
        <v>191</v>
      </c>
      <c r="E72" s="291"/>
      <c r="F72" s="291"/>
      <c r="G72" s="291"/>
      <c r="H72" s="291"/>
      <c r="I72" s="291"/>
      <c r="J72" s="291"/>
      <c r="K72" s="291"/>
      <c r="L72" s="291"/>
      <c r="M72" s="291"/>
      <c r="N72" s="291"/>
      <c r="O72" s="291"/>
      <c r="P72" s="291"/>
      <c r="Q72" s="291"/>
      <c r="R72" s="291"/>
      <c r="S72" s="291"/>
      <c r="T72" s="291"/>
      <c r="U72" s="291"/>
      <c r="V72" s="291"/>
      <c r="W72" s="291"/>
      <c r="X72" s="291"/>
      <c r="Y72" s="291"/>
      <c r="Z72" s="291"/>
      <c r="AA72" s="291"/>
      <c r="AB72" s="291"/>
      <c r="AC72" s="291"/>
      <c r="AD72" s="291"/>
      <c r="AE72" s="291"/>
      <c r="AF72" s="291"/>
      <c r="AG72" s="291"/>
      <c r="AH72" s="291"/>
      <c r="AI72" s="291"/>
      <c r="AJ72" s="291"/>
      <c r="AK72" s="291"/>
      <c r="AL72" s="291"/>
      <c r="AM72" s="291"/>
      <c r="AN72" s="291"/>
      <c r="AO72" s="291"/>
      <c r="AP72" s="291"/>
      <c r="AQ72" s="291"/>
      <c r="AR72" s="291"/>
      <c r="AS72" s="291"/>
      <c r="AT72" s="291"/>
      <c r="AU72" s="291"/>
      <c r="AV72" s="291"/>
      <c r="AW72" s="291"/>
      <c r="AX72" s="291"/>
      <c r="AY72" s="291"/>
      <c r="AZ72" s="291"/>
      <c r="BA72" s="291"/>
      <c r="BB72" s="291"/>
      <c r="BC72" s="291"/>
      <c r="BD72" s="291"/>
      <c r="BE72" s="291"/>
      <c r="BF72" s="291"/>
      <c r="BG72" s="291"/>
      <c r="BH72" s="291"/>
      <c r="BI72" s="291"/>
      <c r="BJ72" s="291"/>
      <c r="BK72" s="291"/>
      <c r="BL72" s="291"/>
      <c r="BM72" s="291"/>
      <c r="BN72" s="291"/>
      <c r="BO72" s="291"/>
      <c r="BP72" s="291"/>
      <c r="BQ72" s="291"/>
      <c r="BR72" s="291"/>
      <c r="BS72" s="291"/>
      <c r="BT72" s="291"/>
      <c r="BU72" s="291"/>
      <c r="BV72" s="291"/>
      <c r="BW72" s="291"/>
      <c r="BX72" s="291"/>
      <c r="BY72" s="292">
        <f t="shared" ref="BY72:BY73" si="40">SUM(E72:BX72)</f>
        <v>0</v>
      </c>
      <c r="BZ72" s="564"/>
      <c r="CA72" s="229"/>
      <c r="CB72" s="229"/>
      <c r="CC72" s="229"/>
      <c r="CD72" s="256" t="e">
        <f t="shared" ref="CD72:CD73" ca="1" si="41">SUM(INDEX(AC72:BX72, , 1):INDEX(AC72:BX72, ,MATCH($CD$4, $E$3:$BX$3,0) ))</f>
        <v>#N/A</v>
      </c>
      <c r="CE72" s="564"/>
    </row>
    <row r="73" spans="2:83" ht="15.95" hidden="1" outlineLevel="1">
      <c r="B73" s="569"/>
      <c r="C73" s="288" t="s">
        <v>246</v>
      </c>
      <c r="D73" s="261" t="s">
        <v>191</v>
      </c>
      <c r="E73" s="293"/>
      <c r="F73" s="282"/>
      <c r="G73" s="282"/>
      <c r="H73" s="282"/>
      <c r="I73" s="282"/>
      <c r="J73" s="282"/>
      <c r="K73" s="282"/>
      <c r="L73" s="282"/>
      <c r="M73" s="282"/>
      <c r="N73" s="282"/>
      <c r="O73" s="282"/>
      <c r="P73" s="282"/>
      <c r="Q73" s="282"/>
      <c r="R73" s="282"/>
      <c r="S73" s="282"/>
      <c r="T73" s="282"/>
      <c r="U73" s="282"/>
      <c r="V73" s="282"/>
      <c r="W73" s="282"/>
      <c r="X73" s="282"/>
      <c r="Y73" s="282"/>
      <c r="Z73" s="282"/>
      <c r="AA73" s="282"/>
      <c r="AB73" s="282"/>
      <c r="AC73" s="282"/>
      <c r="AD73" s="282"/>
      <c r="AE73" s="282"/>
      <c r="AF73" s="282"/>
      <c r="AG73" s="282"/>
      <c r="AH73" s="282"/>
      <c r="AI73" s="282"/>
      <c r="AJ73" s="282"/>
      <c r="AK73" s="282"/>
      <c r="AL73" s="282"/>
      <c r="AM73" s="282"/>
      <c r="AN73" s="282"/>
      <c r="AO73" s="282"/>
      <c r="AP73" s="282"/>
      <c r="AQ73" s="282"/>
      <c r="AR73" s="282"/>
      <c r="AS73" s="282"/>
      <c r="AT73" s="282"/>
      <c r="AU73" s="282"/>
      <c r="AV73" s="282"/>
      <c r="AW73" s="282"/>
      <c r="AX73" s="282"/>
      <c r="AY73" s="282"/>
      <c r="AZ73" s="282"/>
      <c r="BA73" s="282"/>
      <c r="BB73" s="282"/>
      <c r="BC73" s="282"/>
      <c r="BD73" s="282"/>
      <c r="BE73" s="282"/>
      <c r="BF73" s="282"/>
      <c r="BG73" s="282"/>
      <c r="BH73" s="282"/>
      <c r="BI73" s="282"/>
      <c r="BJ73" s="282"/>
      <c r="BK73" s="282"/>
      <c r="BL73" s="282"/>
      <c r="BM73" s="282"/>
      <c r="BN73" s="282"/>
      <c r="BO73" s="282"/>
      <c r="BP73" s="282"/>
      <c r="BQ73" s="282"/>
      <c r="BR73" s="282"/>
      <c r="BS73" s="282"/>
      <c r="BT73" s="282"/>
      <c r="BU73" s="282"/>
      <c r="BV73" s="282"/>
      <c r="BW73" s="282"/>
      <c r="BX73" s="282"/>
      <c r="BY73" s="294">
        <f t="shared" si="40"/>
        <v>0</v>
      </c>
      <c r="BZ73" s="563"/>
      <c r="CA73" s="229"/>
      <c r="CB73" s="229"/>
      <c r="CC73" s="229"/>
      <c r="CD73" s="256" t="e">
        <f t="shared" ca="1" si="41"/>
        <v>#N/A</v>
      </c>
      <c r="CE73" s="563"/>
    </row>
    <row r="74" spans="2:83">
      <c r="B74" s="569"/>
      <c r="C74" s="252" t="s">
        <v>247</v>
      </c>
      <c r="D74" s="253"/>
      <c r="E74" s="254">
        <f t="shared" ref="E74:BX74" si="42">SUM(E75:E81)</f>
        <v>0</v>
      </c>
      <c r="F74" s="254">
        <f t="shared" si="42"/>
        <v>0</v>
      </c>
      <c r="G74" s="254">
        <f t="shared" si="42"/>
        <v>0</v>
      </c>
      <c r="H74" s="254">
        <f t="shared" si="42"/>
        <v>0</v>
      </c>
      <c r="I74" s="254">
        <f t="shared" si="42"/>
        <v>0</v>
      </c>
      <c r="J74" s="254">
        <f t="shared" si="42"/>
        <v>0</v>
      </c>
      <c r="K74" s="254">
        <f t="shared" si="42"/>
        <v>0</v>
      </c>
      <c r="L74" s="254">
        <f t="shared" si="42"/>
        <v>0</v>
      </c>
      <c r="M74" s="254">
        <f t="shared" si="42"/>
        <v>0</v>
      </c>
      <c r="N74" s="254">
        <f t="shared" si="42"/>
        <v>0</v>
      </c>
      <c r="O74" s="254">
        <f t="shared" si="42"/>
        <v>0</v>
      </c>
      <c r="P74" s="254">
        <f t="shared" si="42"/>
        <v>0</v>
      </c>
      <c r="Q74" s="254">
        <f t="shared" si="42"/>
        <v>-1918824</v>
      </c>
      <c r="R74" s="254">
        <f t="shared" si="42"/>
        <v>-50000</v>
      </c>
      <c r="S74" s="254">
        <f t="shared" si="42"/>
        <v>0</v>
      </c>
      <c r="T74" s="254">
        <f t="shared" si="42"/>
        <v>0</v>
      </c>
      <c r="U74" s="254">
        <f t="shared" si="42"/>
        <v>0</v>
      </c>
      <c r="V74" s="254">
        <f t="shared" si="42"/>
        <v>0</v>
      </c>
      <c r="W74" s="254">
        <f t="shared" si="42"/>
        <v>0</v>
      </c>
      <c r="X74" s="254">
        <f t="shared" si="42"/>
        <v>0</v>
      </c>
      <c r="Y74" s="254">
        <f t="shared" si="42"/>
        <v>0</v>
      </c>
      <c r="Z74" s="254">
        <f t="shared" si="42"/>
        <v>0</v>
      </c>
      <c r="AA74" s="254">
        <f t="shared" si="42"/>
        <v>0</v>
      </c>
      <c r="AB74" s="254">
        <f t="shared" si="42"/>
        <v>0</v>
      </c>
      <c r="AC74" s="254">
        <f t="shared" si="42"/>
        <v>0</v>
      </c>
      <c r="AD74" s="254">
        <f t="shared" si="42"/>
        <v>0</v>
      </c>
      <c r="AE74" s="254">
        <f t="shared" si="42"/>
        <v>0</v>
      </c>
      <c r="AF74" s="254">
        <f t="shared" si="42"/>
        <v>0</v>
      </c>
      <c r="AG74" s="254">
        <f t="shared" si="42"/>
        <v>0</v>
      </c>
      <c r="AH74" s="254">
        <f t="shared" si="42"/>
        <v>0</v>
      </c>
      <c r="AI74" s="254">
        <f t="shared" si="42"/>
        <v>0</v>
      </c>
      <c r="AJ74" s="254">
        <f t="shared" si="42"/>
        <v>-112232008</v>
      </c>
      <c r="AK74" s="254">
        <f t="shared" si="42"/>
        <v>0</v>
      </c>
      <c r="AL74" s="254">
        <f t="shared" si="42"/>
        <v>0</v>
      </c>
      <c r="AM74" s="254">
        <f t="shared" si="42"/>
        <v>0</v>
      </c>
      <c r="AN74" s="254">
        <f t="shared" si="42"/>
        <v>0</v>
      </c>
      <c r="AO74" s="254">
        <f t="shared" si="42"/>
        <v>0</v>
      </c>
      <c r="AP74" s="254">
        <f t="shared" si="42"/>
        <v>0</v>
      </c>
      <c r="AQ74" s="254">
        <f t="shared" si="42"/>
        <v>0</v>
      </c>
      <c r="AR74" s="254">
        <f t="shared" si="42"/>
        <v>0</v>
      </c>
      <c r="AS74" s="254">
        <f t="shared" si="42"/>
        <v>0</v>
      </c>
      <c r="AT74" s="254">
        <f t="shared" si="42"/>
        <v>0</v>
      </c>
      <c r="AU74" s="254">
        <f t="shared" si="42"/>
        <v>0</v>
      </c>
      <c r="AV74" s="254">
        <f t="shared" si="42"/>
        <v>0</v>
      </c>
      <c r="AW74" s="254">
        <f t="shared" si="42"/>
        <v>0</v>
      </c>
      <c r="AX74" s="254">
        <f t="shared" si="42"/>
        <v>0</v>
      </c>
      <c r="AY74" s="254">
        <f t="shared" si="42"/>
        <v>0</v>
      </c>
      <c r="AZ74" s="254">
        <f t="shared" si="42"/>
        <v>0</v>
      </c>
      <c r="BA74" s="254">
        <f t="shared" si="42"/>
        <v>0</v>
      </c>
      <c r="BB74" s="254">
        <f t="shared" si="42"/>
        <v>0</v>
      </c>
      <c r="BC74" s="254">
        <f t="shared" si="42"/>
        <v>0</v>
      </c>
      <c r="BD74" s="254">
        <f t="shared" si="42"/>
        <v>0</v>
      </c>
      <c r="BE74" s="254">
        <f t="shared" si="42"/>
        <v>0</v>
      </c>
      <c r="BF74" s="254">
        <f t="shared" si="42"/>
        <v>0</v>
      </c>
      <c r="BG74" s="254">
        <f t="shared" si="42"/>
        <v>0</v>
      </c>
      <c r="BH74" s="254">
        <f t="shared" si="42"/>
        <v>0</v>
      </c>
      <c r="BI74" s="254">
        <f t="shared" si="42"/>
        <v>0</v>
      </c>
      <c r="BJ74" s="254">
        <f t="shared" si="42"/>
        <v>0</v>
      </c>
      <c r="BK74" s="254">
        <f t="shared" si="42"/>
        <v>0</v>
      </c>
      <c r="BL74" s="254">
        <f t="shared" si="42"/>
        <v>0</v>
      </c>
      <c r="BM74" s="254">
        <f t="shared" si="42"/>
        <v>0</v>
      </c>
      <c r="BN74" s="254">
        <f t="shared" si="42"/>
        <v>0</v>
      </c>
      <c r="BO74" s="254">
        <f t="shared" si="42"/>
        <v>0</v>
      </c>
      <c r="BP74" s="254">
        <f t="shared" si="42"/>
        <v>0</v>
      </c>
      <c r="BQ74" s="254">
        <f t="shared" si="42"/>
        <v>0</v>
      </c>
      <c r="BR74" s="254">
        <f t="shared" si="42"/>
        <v>0</v>
      </c>
      <c r="BS74" s="254">
        <f t="shared" si="42"/>
        <v>0</v>
      </c>
      <c r="BT74" s="254">
        <f t="shared" si="42"/>
        <v>0</v>
      </c>
      <c r="BU74" s="254">
        <f t="shared" si="42"/>
        <v>0</v>
      </c>
      <c r="BV74" s="254">
        <f t="shared" si="42"/>
        <v>0</v>
      </c>
      <c r="BW74" s="254">
        <f t="shared" si="42"/>
        <v>0</v>
      </c>
      <c r="BX74" s="254">
        <f t="shared" si="42"/>
        <v>0</v>
      </c>
      <c r="BY74" s="536">
        <f>SUM(BZ18:BZ62)</f>
        <v>-114348331.03516707</v>
      </c>
      <c r="BZ74" s="568"/>
      <c r="CA74" s="229"/>
      <c r="CB74" s="229"/>
      <c r="CC74" s="229"/>
      <c r="CD74" s="229"/>
      <c r="CE74" s="229"/>
    </row>
    <row r="75" spans="2:83" outlineLevel="1">
      <c r="B75" s="569"/>
      <c r="C75" s="257" t="s">
        <v>248</v>
      </c>
      <c r="D75" s="258" t="s">
        <v>191</v>
      </c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>
        <f>-1918824</f>
        <v>-1918824</v>
      </c>
      <c r="R75" s="259"/>
      <c r="S75" s="259"/>
      <c r="T75" s="259"/>
      <c r="U75" s="259"/>
      <c r="V75" s="259"/>
      <c r="W75" s="259"/>
      <c r="X75" s="348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>
        <f>-$BY$5-SUM($E$75:AI75)</f>
        <v>-10674306</v>
      </c>
      <c r="AK75" s="259"/>
      <c r="AL75" s="259"/>
      <c r="AM75" s="259"/>
      <c r="AN75" s="259"/>
      <c r="AO75" s="259"/>
      <c r="AP75" s="259"/>
      <c r="AQ75" s="259"/>
      <c r="AR75" s="259"/>
      <c r="AS75" s="259"/>
      <c r="AT75" s="259"/>
      <c r="AU75" s="259"/>
      <c r="AV75" s="259"/>
      <c r="AW75" s="259"/>
      <c r="AX75" s="259"/>
      <c r="AY75" s="259"/>
      <c r="AZ75" s="259"/>
      <c r="BA75" s="259"/>
      <c r="BB75" s="259"/>
      <c r="BC75" s="285"/>
      <c r="BD75" s="259"/>
      <c r="BE75" s="259"/>
      <c r="BF75" s="259"/>
      <c r="BG75" s="259"/>
      <c r="BH75" s="259"/>
      <c r="BI75" s="259"/>
      <c r="BJ75" s="259"/>
      <c r="BK75" s="259"/>
      <c r="BL75" s="259"/>
      <c r="BM75" s="259"/>
      <c r="BN75" s="259"/>
      <c r="BO75" s="259"/>
      <c r="BP75" s="259"/>
      <c r="BQ75" s="259"/>
      <c r="BR75" s="259"/>
      <c r="BS75" s="259"/>
      <c r="BT75" s="259"/>
      <c r="BU75" s="259"/>
      <c r="BV75" s="259"/>
      <c r="BW75" s="259"/>
      <c r="BX75" s="265"/>
      <c r="BY75" s="292">
        <f t="shared" ref="BY75:BY81" si="43">SUM(E75:BX75)</f>
        <v>-12593130</v>
      </c>
      <c r="BZ75" s="537">
        <f>SUM(BY75:BY81)</f>
        <v>-114200832</v>
      </c>
      <c r="CA75" s="248">
        <f>AJ75/(AJ75+AJ76)</f>
        <v>0.20173692897838993</v>
      </c>
      <c r="CB75" s="229"/>
      <c r="CC75" s="229"/>
      <c r="CD75" s="229"/>
      <c r="CE75" s="229"/>
    </row>
    <row r="76" spans="2:83" outlineLevel="1">
      <c r="B76" s="569"/>
      <c r="C76" s="257" t="s">
        <v>249</v>
      </c>
      <c r="D76" s="258" t="s">
        <v>191</v>
      </c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348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>
        <f>-$BY$6-SUM($E$76:AI76)</f>
        <v>-42237702</v>
      </c>
      <c r="AK76" s="259"/>
      <c r="AL76" s="259"/>
      <c r="AM76" s="259"/>
      <c r="AN76" s="259"/>
      <c r="AO76" s="259"/>
      <c r="AP76" s="259"/>
      <c r="AQ76" s="259"/>
      <c r="AR76" s="259"/>
      <c r="AS76" s="259"/>
      <c r="AT76" s="259"/>
      <c r="AU76" s="259"/>
      <c r="AV76" s="259"/>
      <c r="AW76" s="259"/>
      <c r="AX76" s="259"/>
      <c r="AY76" s="259"/>
      <c r="AZ76" s="259"/>
      <c r="BA76" s="259"/>
      <c r="BB76" s="259"/>
      <c r="BC76" s="259"/>
      <c r="BD76" s="259"/>
      <c r="BE76" s="259"/>
      <c r="BF76" s="259"/>
      <c r="BG76" s="259"/>
      <c r="BH76" s="259"/>
      <c r="BI76" s="259"/>
      <c r="BJ76" s="259"/>
      <c r="BK76" s="259"/>
      <c r="BL76" s="259"/>
      <c r="BM76" s="259"/>
      <c r="BN76" s="259"/>
      <c r="BO76" s="259"/>
      <c r="BP76" s="259"/>
      <c r="BQ76" s="259"/>
      <c r="BR76" s="259"/>
      <c r="BS76" s="259"/>
      <c r="BT76" s="259"/>
      <c r="BU76" s="259"/>
      <c r="BV76" s="259"/>
      <c r="BW76" s="259"/>
      <c r="BX76" s="265"/>
      <c r="BY76" s="286">
        <f t="shared" si="43"/>
        <v>-42237702</v>
      </c>
      <c r="BZ76" s="564"/>
      <c r="CA76" s="229"/>
      <c r="CB76" s="248"/>
      <c r="CC76" s="229"/>
      <c r="CD76" s="229"/>
      <c r="CE76" s="229"/>
    </row>
    <row r="77" spans="2:83" outlineLevel="1">
      <c r="B77" s="569"/>
      <c r="C77" s="257" t="s">
        <v>250</v>
      </c>
      <c r="D77" s="258" t="s">
        <v>191</v>
      </c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59"/>
      <c r="AO77" s="259"/>
      <c r="AP77" s="259"/>
      <c r="AQ77" s="259"/>
      <c r="AR77" s="259"/>
      <c r="AS77" s="259"/>
      <c r="AT77" s="259"/>
      <c r="AU77" s="259"/>
      <c r="AV77" s="259"/>
      <c r="AW77" s="259"/>
      <c r="AX77" s="259"/>
      <c r="AY77" s="259"/>
      <c r="AZ77" s="259"/>
      <c r="BA77" s="259"/>
      <c r="BB77" s="259"/>
      <c r="BC77" s="259"/>
      <c r="BD77" s="259"/>
      <c r="BE77" s="259"/>
      <c r="BF77" s="259"/>
      <c r="BG77" s="259"/>
      <c r="BH77" s="259"/>
      <c r="BI77" s="259"/>
      <c r="BJ77" s="259"/>
      <c r="BK77" s="259"/>
      <c r="BL77" s="259"/>
      <c r="BM77" s="259"/>
      <c r="BN77" s="259"/>
      <c r="BO77" s="259"/>
      <c r="BP77" s="259"/>
      <c r="BQ77" s="259"/>
      <c r="BR77" s="259"/>
      <c r="BS77" s="259"/>
      <c r="BT77" s="259"/>
      <c r="BU77" s="259"/>
      <c r="BV77" s="259"/>
      <c r="BW77" s="259"/>
      <c r="BX77" s="265"/>
      <c r="BY77" s="286">
        <f t="shared" si="43"/>
        <v>0</v>
      </c>
      <c r="BZ77" s="564"/>
      <c r="CA77" s="229"/>
      <c r="CB77" s="229"/>
      <c r="CC77" s="229"/>
      <c r="CD77" s="229"/>
      <c r="CE77" s="229"/>
    </row>
    <row r="78" spans="2:83" outlineLevel="1">
      <c r="B78" s="569"/>
      <c r="C78" s="257" t="s">
        <v>251</v>
      </c>
      <c r="D78" s="258" t="s">
        <v>191</v>
      </c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/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59"/>
      <c r="AO78" s="259"/>
      <c r="AP78" s="259"/>
      <c r="AQ78" s="259"/>
      <c r="AR78" s="259"/>
      <c r="AS78" s="259"/>
      <c r="AT78" s="259"/>
      <c r="AU78" s="259"/>
      <c r="AV78" s="259"/>
      <c r="AW78" s="259"/>
      <c r="AX78" s="259"/>
      <c r="AY78" s="259"/>
      <c r="AZ78" s="259"/>
      <c r="BA78" s="259"/>
      <c r="BB78" s="259"/>
      <c r="BC78" s="259"/>
      <c r="BD78" s="259"/>
      <c r="BE78" s="259"/>
      <c r="BF78" s="259"/>
      <c r="BG78" s="259"/>
      <c r="BH78" s="259"/>
      <c r="BI78" s="259"/>
      <c r="BJ78" s="259"/>
      <c r="BK78" s="259"/>
      <c r="BL78" s="259"/>
      <c r="BM78" s="259"/>
      <c r="BN78" s="259"/>
      <c r="BO78" s="259"/>
      <c r="BP78" s="259"/>
      <c r="BQ78" s="259"/>
      <c r="BR78" s="259"/>
      <c r="BS78" s="259"/>
      <c r="BT78" s="259"/>
      <c r="BU78" s="259"/>
      <c r="BV78" s="259"/>
      <c r="BW78" s="259"/>
      <c r="BX78" s="265"/>
      <c r="BY78" s="286">
        <f t="shared" si="43"/>
        <v>0</v>
      </c>
      <c r="BZ78" s="564"/>
      <c r="CA78" s="229"/>
      <c r="CB78" s="248"/>
      <c r="CC78" s="229"/>
      <c r="CD78" s="229"/>
      <c r="CE78" s="229"/>
    </row>
    <row r="79" spans="2:83" outlineLevel="1">
      <c r="B79" s="569"/>
      <c r="C79" s="257" t="s">
        <v>252</v>
      </c>
      <c r="D79" s="258" t="s">
        <v>191</v>
      </c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>
        <f>-50000</f>
        <v>-50000</v>
      </c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59"/>
      <c r="AP79" s="259"/>
      <c r="AQ79" s="259"/>
      <c r="AR79" s="259"/>
      <c r="AS79" s="259"/>
      <c r="AT79" s="259"/>
      <c r="AU79" s="259"/>
      <c r="AV79" s="259"/>
      <c r="AW79" s="259"/>
      <c r="AX79" s="259"/>
      <c r="AY79" s="259"/>
      <c r="AZ79" s="259"/>
      <c r="BA79" s="259"/>
      <c r="BB79" s="259"/>
      <c r="BC79" s="285"/>
      <c r="BD79" s="259"/>
      <c r="BE79" s="259"/>
      <c r="BF79" s="259"/>
      <c r="BG79" s="259"/>
      <c r="BH79" s="259"/>
      <c r="BI79" s="259"/>
      <c r="BJ79" s="259"/>
      <c r="BK79" s="259"/>
      <c r="BL79" s="259"/>
      <c r="BM79" s="259"/>
      <c r="BN79" s="259"/>
      <c r="BO79" s="259"/>
      <c r="BP79" s="259"/>
      <c r="BQ79" s="259"/>
      <c r="BR79" s="259"/>
      <c r="BS79" s="259"/>
      <c r="BT79" s="259"/>
      <c r="BU79" s="259"/>
      <c r="BV79" s="259"/>
      <c r="BW79" s="259"/>
      <c r="BX79" s="265"/>
      <c r="BY79" s="286">
        <f t="shared" si="43"/>
        <v>-50000</v>
      </c>
      <c r="BZ79" s="564"/>
      <c r="CA79" s="229"/>
      <c r="CB79" s="229"/>
      <c r="CC79" s="229"/>
      <c r="CD79" s="229"/>
      <c r="CE79" s="229"/>
    </row>
    <row r="80" spans="2:83" outlineLevel="1">
      <c r="B80" s="569"/>
      <c r="C80" s="257" t="s">
        <v>253</v>
      </c>
      <c r="D80" s="258" t="s">
        <v>191</v>
      </c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59"/>
      <c r="AA80" s="259"/>
      <c r="AB80" s="259"/>
      <c r="AC80" s="259"/>
      <c r="AD80" s="259"/>
      <c r="AE80" s="259"/>
      <c r="AF80" s="259"/>
      <c r="AG80" s="259"/>
      <c r="AH80" s="259"/>
      <c r="AI80" s="259"/>
      <c r="AJ80" s="259"/>
      <c r="AK80" s="259"/>
      <c r="AL80" s="259"/>
      <c r="AM80" s="259"/>
      <c r="AN80" s="259"/>
      <c r="AO80" s="259"/>
      <c r="AP80" s="259"/>
      <c r="AQ80" s="259"/>
      <c r="AR80" s="259"/>
      <c r="AS80" s="259"/>
      <c r="AT80" s="259"/>
      <c r="AU80" s="259"/>
      <c r="AV80" s="259"/>
      <c r="AW80" s="259"/>
      <c r="AX80" s="259"/>
      <c r="AY80" s="259"/>
      <c r="AZ80" s="259"/>
      <c r="BA80" s="259"/>
      <c r="BB80" s="259"/>
      <c r="BC80" s="285"/>
      <c r="BD80" s="259"/>
      <c r="BE80" s="259"/>
      <c r="BF80" s="259"/>
      <c r="BG80" s="259"/>
      <c r="BH80" s="259"/>
      <c r="BI80" s="259"/>
      <c r="BJ80" s="259"/>
      <c r="BK80" s="259"/>
      <c r="BL80" s="259"/>
      <c r="BM80" s="259"/>
      <c r="BN80" s="259"/>
      <c r="BO80" s="259"/>
      <c r="BP80" s="259"/>
      <c r="BQ80" s="259"/>
      <c r="BR80" s="259"/>
      <c r="BS80" s="259"/>
      <c r="BT80" s="259"/>
      <c r="BU80" s="259"/>
      <c r="BV80" s="259"/>
      <c r="BW80" s="259"/>
      <c r="BX80" s="265"/>
      <c r="BY80" s="295">
        <f t="shared" si="43"/>
        <v>0</v>
      </c>
      <c r="BZ80" s="564"/>
      <c r="CA80" s="229"/>
      <c r="CB80" s="229"/>
      <c r="CC80" s="229"/>
      <c r="CD80" s="229"/>
      <c r="CE80" s="229"/>
    </row>
    <row r="81" spans="2:79" outlineLevel="1">
      <c r="B81" s="570"/>
      <c r="C81" s="279" t="s">
        <v>254</v>
      </c>
      <c r="D81" s="296" t="s">
        <v>191</v>
      </c>
      <c r="E81" s="281"/>
      <c r="F81" s="281"/>
      <c r="G81" s="281"/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1"/>
      <c r="AI81" s="281"/>
      <c r="AJ81" s="281">
        <f>-BZ9</f>
        <v>-59320000</v>
      </c>
      <c r="AK81" s="281"/>
      <c r="AL81" s="281"/>
      <c r="AM81" s="281"/>
      <c r="AN81" s="281"/>
      <c r="AO81" s="281"/>
      <c r="AP81" s="281"/>
      <c r="AQ81" s="281"/>
      <c r="AR81" s="281"/>
      <c r="AS81" s="281"/>
      <c r="AT81" s="281"/>
      <c r="AU81" s="281"/>
      <c r="AV81" s="281"/>
      <c r="AW81" s="281"/>
      <c r="AX81" s="281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281"/>
      <c r="BT81" s="281"/>
      <c r="BU81" s="281"/>
      <c r="BV81" s="281"/>
      <c r="BW81" s="281"/>
      <c r="BX81" s="282"/>
      <c r="BY81" s="269">
        <f t="shared" si="43"/>
        <v>-59320000</v>
      </c>
      <c r="BZ81" s="571"/>
      <c r="CA81" s="229"/>
    </row>
    <row r="82" spans="2:79" ht="15.95">
      <c r="B82" s="540" t="s">
        <v>255</v>
      </c>
      <c r="C82" s="563"/>
      <c r="D82" s="297" t="s">
        <v>191</v>
      </c>
      <c r="E82" s="298">
        <f t="shared" ref="E82:BX82" si="44">(E18+E24+E28+E36+E39+E49+E55+E63+E71+E74)</f>
        <v>0</v>
      </c>
      <c r="F82" s="298">
        <f t="shared" si="44"/>
        <v>0</v>
      </c>
      <c r="G82" s="298">
        <f t="shared" si="44"/>
        <v>0</v>
      </c>
      <c r="H82" s="298">
        <f t="shared" si="44"/>
        <v>0</v>
      </c>
      <c r="I82" s="298">
        <f t="shared" si="44"/>
        <v>-87324</v>
      </c>
      <c r="J82" s="298">
        <f t="shared" si="44"/>
        <v>-100000</v>
      </c>
      <c r="K82" s="298">
        <f t="shared" si="44"/>
        <v>-600</v>
      </c>
      <c r="L82" s="298">
        <f t="shared" si="44"/>
        <v>-5024121.0999999996</v>
      </c>
      <c r="M82" s="298">
        <f t="shared" si="44"/>
        <v>-607.44000000000005</v>
      </c>
      <c r="N82" s="298">
        <f t="shared" si="44"/>
        <v>-66221</v>
      </c>
      <c r="O82" s="298">
        <f t="shared" si="44"/>
        <v>-26087.89256198347</v>
      </c>
      <c r="P82" s="298">
        <f t="shared" si="44"/>
        <v>-31398.685950413223</v>
      </c>
      <c r="Q82" s="298">
        <f t="shared" si="44"/>
        <v>-2392622.4132231404</v>
      </c>
      <c r="R82" s="298">
        <f t="shared" si="44"/>
        <v>-230793.06438016528</v>
      </c>
      <c r="S82" s="298">
        <f t="shared" si="44"/>
        <v>-1021745.4445454546</v>
      </c>
      <c r="T82" s="298">
        <f t="shared" si="44"/>
        <v>-547337.99</v>
      </c>
      <c r="U82" s="298">
        <f t="shared" si="44"/>
        <v>-182728.60157024793</v>
      </c>
      <c r="V82" s="298">
        <f t="shared" si="44"/>
        <v>-704711.30922865018</v>
      </c>
      <c r="W82" s="298">
        <f t="shared" si="44"/>
        <v>-23033309.559228651</v>
      </c>
      <c r="X82" s="298">
        <f t="shared" si="44"/>
        <v>-395321.30922865018</v>
      </c>
      <c r="Y82" s="298">
        <f t="shared" si="44"/>
        <v>-695321.30922865018</v>
      </c>
      <c r="Z82" s="298">
        <f t="shared" si="44"/>
        <v>-756651.00922865025</v>
      </c>
      <c r="AA82" s="298">
        <f t="shared" si="44"/>
        <v>-7998231.5442286506</v>
      </c>
      <c r="AB82" s="298">
        <f t="shared" si="44"/>
        <v>-7998231.5442286506</v>
      </c>
      <c r="AC82" s="298">
        <f t="shared" si="44"/>
        <v>-8288228.9143347209</v>
      </c>
      <c r="AD82" s="298">
        <f t="shared" si="44"/>
        <v>-10019731.544228651</v>
      </c>
      <c r="AE82" s="298">
        <f t="shared" si="44"/>
        <v>-10086398.210895317</v>
      </c>
      <c r="AF82" s="298">
        <f t="shared" si="44"/>
        <v>-10244144.877561985</v>
      </c>
      <c r="AG82" s="298">
        <f t="shared" si="44"/>
        <v>-10219731.544228651</v>
      </c>
      <c r="AH82" s="298">
        <f t="shared" si="44"/>
        <v>-9540808.2108953167</v>
      </c>
      <c r="AI82" s="298">
        <f t="shared" si="44"/>
        <v>-528684.16666666674</v>
      </c>
      <c r="AJ82" s="298">
        <f t="shared" si="44"/>
        <v>-118828070.34952381</v>
      </c>
      <c r="AK82" s="298">
        <f t="shared" si="44"/>
        <v>0</v>
      </c>
      <c r="AL82" s="298">
        <f t="shared" si="44"/>
        <v>0</v>
      </c>
      <c r="AM82" s="298">
        <f t="shared" si="44"/>
        <v>0</v>
      </c>
      <c r="AN82" s="298">
        <f t="shared" si="44"/>
        <v>0</v>
      </c>
      <c r="AO82" s="298">
        <f t="shared" si="44"/>
        <v>0</v>
      </c>
      <c r="AP82" s="298">
        <f t="shared" si="44"/>
        <v>0</v>
      </c>
      <c r="AQ82" s="298">
        <f t="shared" si="44"/>
        <v>0</v>
      </c>
      <c r="AR82" s="298">
        <f t="shared" si="44"/>
        <v>0</v>
      </c>
      <c r="AS82" s="298">
        <f t="shared" si="44"/>
        <v>0</v>
      </c>
      <c r="AT82" s="298">
        <f t="shared" si="44"/>
        <v>0</v>
      </c>
      <c r="AU82" s="298">
        <f t="shared" si="44"/>
        <v>0</v>
      </c>
      <c r="AV82" s="298">
        <f t="shared" si="44"/>
        <v>0</v>
      </c>
      <c r="AW82" s="298">
        <f t="shared" si="44"/>
        <v>0</v>
      </c>
      <c r="AX82" s="298">
        <f t="shared" si="44"/>
        <v>0</v>
      </c>
      <c r="AY82" s="298">
        <f t="shared" si="44"/>
        <v>0</v>
      </c>
      <c r="AZ82" s="298">
        <f t="shared" si="44"/>
        <v>0</v>
      </c>
      <c r="BA82" s="298">
        <f t="shared" si="44"/>
        <v>0</v>
      </c>
      <c r="BB82" s="298">
        <f t="shared" si="44"/>
        <v>0</v>
      </c>
      <c r="BC82" s="298">
        <f t="shared" si="44"/>
        <v>0</v>
      </c>
      <c r="BD82" s="298">
        <f t="shared" si="44"/>
        <v>0</v>
      </c>
      <c r="BE82" s="298">
        <f t="shared" si="44"/>
        <v>0</v>
      </c>
      <c r="BF82" s="298">
        <f t="shared" si="44"/>
        <v>0</v>
      </c>
      <c r="BG82" s="298">
        <f t="shared" si="44"/>
        <v>0</v>
      </c>
      <c r="BH82" s="298">
        <f t="shared" si="44"/>
        <v>0</v>
      </c>
      <c r="BI82" s="298">
        <f t="shared" si="44"/>
        <v>0</v>
      </c>
      <c r="BJ82" s="298">
        <f t="shared" si="44"/>
        <v>0</v>
      </c>
      <c r="BK82" s="298">
        <f t="shared" si="44"/>
        <v>0</v>
      </c>
      <c r="BL82" s="298">
        <f t="shared" si="44"/>
        <v>0</v>
      </c>
      <c r="BM82" s="298">
        <f t="shared" si="44"/>
        <v>0</v>
      </c>
      <c r="BN82" s="298">
        <f t="shared" si="44"/>
        <v>0</v>
      </c>
      <c r="BO82" s="298">
        <f t="shared" si="44"/>
        <v>0</v>
      </c>
      <c r="BP82" s="298">
        <f t="shared" si="44"/>
        <v>0</v>
      </c>
      <c r="BQ82" s="298">
        <f t="shared" si="44"/>
        <v>0</v>
      </c>
      <c r="BR82" s="298">
        <f t="shared" si="44"/>
        <v>0</v>
      </c>
      <c r="BS82" s="298">
        <f t="shared" si="44"/>
        <v>0</v>
      </c>
      <c r="BT82" s="298">
        <f t="shared" si="44"/>
        <v>0</v>
      </c>
      <c r="BU82" s="298">
        <f t="shared" si="44"/>
        <v>0</v>
      </c>
      <c r="BV82" s="298">
        <f t="shared" si="44"/>
        <v>0</v>
      </c>
      <c r="BW82" s="298">
        <f t="shared" si="44"/>
        <v>0</v>
      </c>
      <c r="BX82" s="298">
        <f t="shared" si="44"/>
        <v>0</v>
      </c>
      <c r="BY82" s="538">
        <f>BZ75</f>
        <v>-114200832</v>
      </c>
      <c r="BZ82" s="570"/>
      <c r="CA82" s="229"/>
    </row>
    <row r="83" spans="2:79" ht="15.95">
      <c r="B83" s="540" t="s">
        <v>256</v>
      </c>
      <c r="C83" s="563"/>
      <c r="D83" s="297"/>
      <c r="E83" s="298">
        <f>E82</f>
        <v>0</v>
      </c>
      <c r="F83" s="298">
        <f t="shared" ref="F83:BX83" si="45">E83+F82</f>
        <v>0</v>
      </c>
      <c r="G83" s="298">
        <f t="shared" si="45"/>
        <v>0</v>
      </c>
      <c r="H83" s="298">
        <f t="shared" si="45"/>
        <v>0</v>
      </c>
      <c r="I83" s="298">
        <f t="shared" si="45"/>
        <v>-87324</v>
      </c>
      <c r="J83" s="298">
        <f t="shared" si="45"/>
        <v>-187324</v>
      </c>
      <c r="K83" s="298">
        <f t="shared" si="45"/>
        <v>-187924</v>
      </c>
      <c r="L83" s="298">
        <f t="shared" si="45"/>
        <v>-5212045.0999999996</v>
      </c>
      <c r="M83" s="298">
        <f t="shared" si="45"/>
        <v>-5212652.54</v>
      </c>
      <c r="N83" s="298">
        <f t="shared" si="45"/>
        <v>-5278873.54</v>
      </c>
      <c r="O83" s="298">
        <f t="shared" si="45"/>
        <v>-5304961.4325619834</v>
      </c>
      <c r="P83" s="298">
        <f t="shared" si="45"/>
        <v>-5336360.1185123967</v>
      </c>
      <c r="Q83" s="298">
        <f t="shared" si="45"/>
        <v>-7728982.5317355376</v>
      </c>
      <c r="R83" s="298">
        <f t="shared" si="45"/>
        <v>-7959775.5961157028</v>
      </c>
      <c r="S83" s="298">
        <f t="shared" si="45"/>
        <v>-8981521.040661158</v>
      </c>
      <c r="T83" s="298">
        <f t="shared" si="45"/>
        <v>-9528859.0306611583</v>
      </c>
      <c r="U83" s="298">
        <f t="shared" si="45"/>
        <v>-9711587.6322314069</v>
      </c>
      <c r="V83" s="298">
        <f t="shared" si="45"/>
        <v>-10416298.941460056</v>
      </c>
      <c r="W83" s="298">
        <f t="shared" si="45"/>
        <v>-33449608.500688709</v>
      </c>
      <c r="X83" s="298">
        <f t="shared" si="45"/>
        <v>-33844929.809917361</v>
      </c>
      <c r="Y83" s="298">
        <f t="shared" si="45"/>
        <v>-34540251.119146012</v>
      </c>
      <c r="Z83" s="298">
        <f t="shared" si="45"/>
        <v>-35296902.128374659</v>
      </c>
      <c r="AA83" s="298">
        <f t="shared" si="45"/>
        <v>-43295133.672603309</v>
      </c>
      <c r="AB83" s="298">
        <f t="shared" si="45"/>
        <v>-51293365.21683196</v>
      </c>
      <c r="AC83" s="298">
        <f t="shared" si="45"/>
        <v>-59581594.131166682</v>
      </c>
      <c r="AD83" s="298">
        <f t="shared" si="45"/>
        <v>-69601325.67539534</v>
      </c>
      <c r="AE83" s="298">
        <f t="shared" si="45"/>
        <v>-79687723.886290655</v>
      </c>
      <c r="AF83" s="298">
        <f t="shared" si="45"/>
        <v>-89931868.763852641</v>
      </c>
      <c r="AG83" s="298">
        <f t="shared" si="45"/>
        <v>-100151600.3080813</v>
      </c>
      <c r="AH83" s="298">
        <f t="shared" si="45"/>
        <v>-109692408.51897661</v>
      </c>
      <c r="AI83" s="298">
        <f t="shared" si="45"/>
        <v>-110221092.68564329</v>
      </c>
      <c r="AJ83" s="298">
        <f t="shared" si="45"/>
        <v>-229049163.0351671</v>
      </c>
      <c r="AK83" s="298">
        <f t="shared" si="45"/>
        <v>-229049163.0351671</v>
      </c>
      <c r="AL83" s="298">
        <f t="shared" si="45"/>
        <v>-229049163.0351671</v>
      </c>
      <c r="AM83" s="298">
        <f t="shared" si="45"/>
        <v>-229049163.0351671</v>
      </c>
      <c r="AN83" s="298">
        <f t="shared" si="45"/>
        <v>-229049163.0351671</v>
      </c>
      <c r="AO83" s="298">
        <f t="shared" si="45"/>
        <v>-229049163.0351671</v>
      </c>
      <c r="AP83" s="298">
        <f t="shared" si="45"/>
        <v>-229049163.0351671</v>
      </c>
      <c r="AQ83" s="298">
        <f t="shared" si="45"/>
        <v>-229049163.0351671</v>
      </c>
      <c r="AR83" s="298">
        <f t="shared" si="45"/>
        <v>-229049163.0351671</v>
      </c>
      <c r="AS83" s="298">
        <f t="shared" si="45"/>
        <v>-229049163.0351671</v>
      </c>
      <c r="AT83" s="298">
        <f t="shared" si="45"/>
        <v>-229049163.0351671</v>
      </c>
      <c r="AU83" s="298">
        <f t="shared" si="45"/>
        <v>-229049163.0351671</v>
      </c>
      <c r="AV83" s="298">
        <f t="shared" si="45"/>
        <v>-229049163.0351671</v>
      </c>
      <c r="AW83" s="298">
        <f t="shared" si="45"/>
        <v>-229049163.0351671</v>
      </c>
      <c r="AX83" s="298">
        <f t="shared" si="45"/>
        <v>-229049163.0351671</v>
      </c>
      <c r="AY83" s="298">
        <f t="shared" si="45"/>
        <v>-229049163.0351671</v>
      </c>
      <c r="AZ83" s="298">
        <f t="shared" si="45"/>
        <v>-229049163.0351671</v>
      </c>
      <c r="BA83" s="298">
        <f t="shared" si="45"/>
        <v>-229049163.0351671</v>
      </c>
      <c r="BB83" s="298">
        <f t="shared" si="45"/>
        <v>-229049163.0351671</v>
      </c>
      <c r="BC83" s="298">
        <f t="shared" si="45"/>
        <v>-229049163.0351671</v>
      </c>
      <c r="BD83" s="298">
        <f t="shared" si="45"/>
        <v>-229049163.0351671</v>
      </c>
      <c r="BE83" s="298">
        <f t="shared" si="45"/>
        <v>-229049163.0351671</v>
      </c>
      <c r="BF83" s="298">
        <f t="shared" si="45"/>
        <v>-229049163.0351671</v>
      </c>
      <c r="BG83" s="298">
        <f t="shared" si="45"/>
        <v>-229049163.0351671</v>
      </c>
      <c r="BH83" s="298">
        <f t="shared" si="45"/>
        <v>-229049163.0351671</v>
      </c>
      <c r="BI83" s="298">
        <f t="shared" si="45"/>
        <v>-229049163.0351671</v>
      </c>
      <c r="BJ83" s="298">
        <f t="shared" si="45"/>
        <v>-229049163.0351671</v>
      </c>
      <c r="BK83" s="298">
        <f t="shared" si="45"/>
        <v>-229049163.0351671</v>
      </c>
      <c r="BL83" s="298">
        <f t="shared" si="45"/>
        <v>-229049163.0351671</v>
      </c>
      <c r="BM83" s="298">
        <f t="shared" si="45"/>
        <v>-229049163.0351671</v>
      </c>
      <c r="BN83" s="298">
        <f t="shared" si="45"/>
        <v>-229049163.0351671</v>
      </c>
      <c r="BO83" s="298">
        <f t="shared" si="45"/>
        <v>-229049163.0351671</v>
      </c>
      <c r="BP83" s="298">
        <f t="shared" si="45"/>
        <v>-229049163.0351671</v>
      </c>
      <c r="BQ83" s="298">
        <f t="shared" si="45"/>
        <v>-229049163.0351671</v>
      </c>
      <c r="BR83" s="298">
        <f t="shared" si="45"/>
        <v>-229049163.0351671</v>
      </c>
      <c r="BS83" s="298">
        <f t="shared" si="45"/>
        <v>-229049163.0351671</v>
      </c>
      <c r="BT83" s="298">
        <f t="shared" si="45"/>
        <v>-229049163.0351671</v>
      </c>
      <c r="BU83" s="298">
        <f t="shared" si="45"/>
        <v>-229049163.0351671</v>
      </c>
      <c r="BV83" s="298">
        <f t="shared" si="45"/>
        <v>-229049163.0351671</v>
      </c>
      <c r="BW83" s="298">
        <f t="shared" si="45"/>
        <v>-229049163.0351671</v>
      </c>
      <c r="BX83" s="298">
        <f t="shared" si="45"/>
        <v>-229049163.0351671</v>
      </c>
      <c r="BY83" s="538">
        <f>BY74+BY82</f>
        <v>-228549163.03516707</v>
      </c>
      <c r="BZ83" s="570"/>
      <c r="CA83" s="229"/>
    </row>
    <row r="84" spans="2:79" ht="15.95">
      <c r="B84" s="541" t="s">
        <v>257</v>
      </c>
      <c r="C84" s="563"/>
      <c r="D84" s="299"/>
      <c r="E84" s="300">
        <f t="shared" ref="E84:BX84" si="46">E17+E82</f>
        <v>0</v>
      </c>
      <c r="F84" s="300">
        <f t="shared" si="46"/>
        <v>0</v>
      </c>
      <c r="G84" s="300">
        <f t="shared" si="46"/>
        <v>0</v>
      </c>
      <c r="H84" s="300">
        <f t="shared" si="46"/>
        <v>0</v>
      </c>
      <c r="I84" s="300">
        <f t="shared" si="46"/>
        <v>0</v>
      </c>
      <c r="J84" s="300">
        <f t="shared" si="46"/>
        <v>0</v>
      </c>
      <c r="K84" s="300">
        <f t="shared" si="46"/>
        <v>-600</v>
      </c>
      <c r="L84" s="300">
        <f t="shared" si="46"/>
        <v>378.90000000037253</v>
      </c>
      <c r="M84" s="301">
        <f t="shared" si="46"/>
        <v>392.55999999999995</v>
      </c>
      <c r="N84" s="300">
        <f t="shared" si="46"/>
        <v>3</v>
      </c>
      <c r="O84" s="301">
        <f t="shared" si="46"/>
        <v>-370</v>
      </c>
      <c r="P84" s="301">
        <f t="shared" si="46"/>
        <v>3956209</v>
      </c>
      <c r="Q84" s="301">
        <f t="shared" si="46"/>
        <v>-2468128</v>
      </c>
      <c r="R84" s="301">
        <f t="shared" si="46"/>
        <v>-268627.7279</v>
      </c>
      <c r="S84" s="301">
        <f t="shared" si="46"/>
        <v>-1057800.4379</v>
      </c>
      <c r="T84" s="301">
        <f t="shared" si="46"/>
        <v>-140555.7279</v>
      </c>
      <c r="U84" s="300">
        <f t="shared" si="46"/>
        <v>-17969.727899999998</v>
      </c>
      <c r="V84" s="300">
        <f t="shared" si="46"/>
        <v>340727.05373333325</v>
      </c>
      <c r="W84" s="300">
        <f t="shared" si="46"/>
        <v>-58853.44033691287</v>
      </c>
      <c r="X84" s="301">
        <f t="shared" si="46"/>
        <v>-227849.40922865018</v>
      </c>
      <c r="Y84" s="301">
        <f t="shared" si="46"/>
        <v>322656.22327134979</v>
      </c>
      <c r="Z84" s="301">
        <f t="shared" si="46"/>
        <v>6574969.7537713498</v>
      </c>
      <c r="AA84" s="301">
        <f t="shared" si="46"/>
        <v>-170810.78122865036</v>
      </c>
      <c r="AB84" s="301">
        <f t="shared" si="46"/>
        <v>-157931.54422865063</v>
      </c>
      <c r="AC84" s="300">
        <f t="shared" si="46"/>
        <v>-234895.58100138791</v>
      </c>
      <c r="AD84" s="301">
        <f t="shared" si="46"/>
        <v>100268.45577134937</v>
      </c>
      <c r="AE84" s="301">
        <f t="shared" si="46"/>
        <v>100268.45577134937</v>
      </c>
      <c r="AF84" s="301">
        <f t="shared" si="46"/>
        <v>-9938.3442286513746</v>
      </c>
      <c r="AG84" s="301">
        <f t="shared" si="46"/>
        <v>100268.45577134937</v>
      </c>
      <c r="AH84" s="301">
        <f t="shared" si="46"/>
        <v>912885.25577135012</v>
      </c>
      <c r="AI84" s="301">
        <f t="shared" si="46"/>
        <v>-479424.25472865021</v>
      </c>
      <c r="AJ84" s="301">
        <f t="shared" si="46"/>
        <v>-5117650.3343715221</v>
      </c>
      <c r="AK84" s="301">
        <f t="shared" si="46"/>
        <v>0</v>
      </c>
      <c r="AL84" s="301">
        <f t="shared" si="46"/>
        <v>0</v>
      </c>
      <c r="AM84" s="301">
        <f t="shared" si="46"/>
        <v>0</v>
      </c>
      <c r="AN84" s="301">
        <f t="shared" si="46"/>
        <v>0</v>
      </c>
      <c r="AO84" s="300">
        <f t="shared" si="46"/>
        <v>0</v>
      </c>
      <c r="AP84" s="301">
        <f t="shared" si="46"/>
        <v>0</v>
      </c>
      <c r="AQ84" s="301">
        <f t="shared" si="46"/>
        <v>0</v>
      </c>
      <c r="AR84" s="301">
        <f t="shared" si="46"/>
        <v>0</v>
      </c>
      <c r="AS84" s="300">
        <f t="shared" si="46"/>
        <v>0</v>
      </c>
      <c r="AT84" s="300">
        <f t="shared" si="46"/>
        <v>0</v>
      </c>
      <c r="AU84" s="300">
        <f t="shared" si="46"/>
        <v>0</v>
      </c>
      <c r="AV84" s="300">
        <f t="shared" si="46"/>
        <v>0</v>
      </c>
      <c r="AW84" s="300">
        <f t="shared" si="46"/>
        <v>0</v>
      </c>
      <c r="AX84" s="300">
        <f t="shared" si="46"/>
        <v>0</v>
      </c>
      <c r="AY84" s="300">
        <f t="shared" si="46"/>
        <v>0</v>
      </c>
      <c r="AZ84" s="300">
        <f t="shared" si="46"/>
        <v>0</v>
      </c>
      <c r="BA84" s="300">
        <f t="shared" si="46"/>
        <v>0</v>
      </c>
      <c r="BB84" s="300">
        <f t="shared" si="46"/>
        <v>0</v>
      </c>
      <c r="BC84" s="300">
        <f t="shared" si="46"/>
        <v>0</v>
      </c>
      <c r="BD84" s="300">
        <f t="shared" si="46"/>
        <v>0</v>
      </c>
      <c r="BE84" s="300">
        <f t="shared" si="46"/>
        <v>0</v>
      </c>
      <c r="BF84" s="300">
        <f t="shared" si="46"/>
        <v>0</v>
      </c>
      <c r="BG84" s="300">
        <f t="shared" si="46"/>
        <v>0</v>
      </c>
      <c r="BH84" s="300">
        <f t="shared" si="46"/>
        <v>0</v>
      </c>
      <c r="BI84" s="300">
        <f t="shared" si="46"/>
        <v>0</v>
      </c>
      <c r="BJ84" s="300">
        <f t="shared" si="46"/>
        <v>0</v>
      </c>
      <c r="BK84" s="300">
        <f t="shared" si="46"/>
        <v>0</v>
      </c>
      <c r="BL84" s="302">
        <f t="shared" si="46"/>
        <v>0</v>
      </c>
      <c r="BM84" s="302">
        <f t="shared" si="46"/>
        <v>0</v>
      </c>
      <c r="BN84" s="302">
        <f t="shared" si="46"/>
        <v>0</v>
      </c>
      <c r="BO84" s="302">
        <f t="shared" si="46"/>
        <v>0</v>
      </c>
      <c r="BP84" s="302">
        <f t="shared" si="46"/>
        <v>0</v>
      </c>
      <c r="BQ84" s="302">
        <f t="shared" si="46"/>
        <v>0</v>
      </c>
      <c r="BR84" s="302">
        <f t="shared" si="46"/>
        <v>0</v>
      </c>
      <c r="BS84" s="302">
        <f t="shared" si="46"/>
        <v>0</v>
      </c>
      <c r="BT84" s="302">
        <f t="shared" si="46"/>
        <v>0</v>
      </c>
      <c r="BU84" s="302">
        <f t="shared" si="46"/>
        <v>0</v>
      </c>
      <c r="BV84" s="302">
        <f t="shared" si="46"/>
        <v>0</v>
      </c>
      <c r="BW84" s="302">
        <f t="shared" si="46"/>
        <v>0</v>
      </c>
      <c r="BX84" s="302">
        <f t="shared" si="46"/>
        <v>0</v>
      </c>
      <c r="BY84" s="539">
        <f>BY17+BY74+BY82</f>
        <v>2497621.802908361</v>
      </c>
      <c r="BZ84" s="572"/>
      <c r="CA84" s="229"/>
    </row>
    <row r="85" spans="2:79">
      <c r="B85" s="542" t="s">
        <v>258</v>
      </c>
      <c r="C85" s="563"/>
      <c r="D85" s="303"/>
      <c r="E85" s="304">
        <f>E84</f>
        <v>0</v>
      </c>
      <c r="F85" s="304">
        <f t="shared" ref="F85:BX85" si="47">F84+E85</f>
        <v>0</v>
      </c>
      <c r="G85" s="304">
        <f t="shared" si="47"/>
        <v>0</v>
      </c>
      <c r="H85" s="304">
        <f t="shared" si="47"/>
        <v>0</v>
      </c>
      <c r="I85" s="304">
        <f t="shared" si="47"/>
        <v>0</v>
      </c>
      <c r="J85" s="304">
        <f t="shared" si="47"/>
        <v>0</v>
      </c>
      <c r="K85" s="304">
        <f t="shared" si="47"/>
        <v>-600</v>
      </c>
      <c r="L85" s="304">
        <f t="shared" si="47"/>
        <v>-221.09999999962747</v>
      </c>
      <c r="M85" s="304">
        <f t="shared" si="47"/>
        <v>171.46000000037247</v>
      </c>
      <c r="N85" s="304">
        <f t="shared" si="47"/>
        <v>174.46000000037247</v>
      </c>
      <c r="O85" s="304">
        <f t="shared" si="47"/>
        <v>-195.53999999962753</v>
      </c>
      <c r="P85" s="304">
        <f t="shared" si="47"/>
        <v>3956013.4600000004</v>
      </c>
      <c r="Q85" s="304">
        <f t="shared" si="47"/>
        <v>1487885.4600000004</v>
      </c>
      <c r="R85" s="304">
        <f t="shared" si="47"/>
        <v>1219257.7321000004</v>
      </c>
      <c r="S85" s="304">
        <f t="shared" si="47"/>
        <v>161457.29420000035</v>
      </c>
      <c r="T85" s="304">
        <f t="shared" si="47"/>
        <v>20901.566300000355</v>
      </c>
      <c r="U85" s="304">
        <f t="shared" si="47"/>
        <v>2931.8384000003571</v>
      </c>
      <c r="V85" s="304">
        <f t="shared" si="47"/>
        <v>343658.8921333336</v>
      </c>
      <c r="W85" s="304">
        <f t="shared" si="47"/>
        <v>284805.45179642073</v>
      </c>
      <c r="X85" s="304">
        <f t="shared" si="47"/>
        <v>56956.04256777055</v>
      </c>
      <c r="Y85" s="304">
        <f t="shared" si="47"/>
        <v>379612.26583912037</v>
      </c>
      <c r="Z85" s="304">
        <f t="shared" si="47"/>
        <v>6954582.0196104702</v>
      </c>
      <c r="AA85" s="304">
        <f t="shared" si="47"/>
        <v>6783771.2383818198</v>
      </c>
      <c r="AB85" s="304">
        <f t="shared" si="47"/>
        <v>6625839.6941531692</v>
      </c>
      <c r="AC85" s="304">
        <f t="shared" si="47"/>
        <v>6390944.1131517813</v>
      </c>
      <c r="AD85" s="304">
        <f t="shared" si="47"/>
        <v>6491212.5689231306</v>
      </c>
      <c r="AE85" s="304">
        <f t="shared" si="47"/>
        <v>6591481.02469448</v>
      </c>
      <c r="AF85" s="304">
        <f t="shared" si="47"/>
        <v>6581542.6804658286</v>
      </c>
      <c r="AG85" s="304">
        <f t="shared" si="47"/>
        <v>6681811.136237178</v>
      </c>
      <c r="AH85" s="304">
        <f t="shared" si="47"/>
        <v>7594696.3920085281</v>
      </c>
      <c r="AI85" s="304">
        <f t="shared" si="47"/>
        <v>7115272.1372798774</v>
      </c>
      <c r="AJ85" s="304">
        <f t="shared" si="47"/>
        <v>1997621.8029083554</v>
      </c>
      <c r="AK85" s="304">
        <f t="shared" si="47"/>
        <v>1997621.8029083554</v>
      </c>
      <c r="AL85" s="304">
        <f t="shared" si="47"/>
        <v>1997621.8029083554</v>
      </c>
      <c r="AM85" s="304">
        <f t="shared" si="47"/>
        <v>1997621.8029083554</v>
      </c>
      <c r="AN85" s="304">
        <f t="shared" si="47"/>
        <v>1997621.8029083554</v>
      </c>
      <c r="AO85" s="304">
        <f t="shared" si="47"/>
        <v>1997621.8029083554</v>
      </c>
      <c r="AP85" s="304">
        <f t="shared" si="47"/>
        <v>1997621.8029083554</v>
      </c>
      <c r="AQ85" s="304">
        <f t="shared" si="47"/>
        <v>1997621.8029083554</v>
      </c>
      <c r="AR85" s="304">
        <f t="shared" si="47"/>
        <v>1997621.8029083554</v>
      </c>
      <c r="AS85" s="304">
        <f t="shared" si="47"/>
        <v>1997621.8029083554</v>
      </c>
      <c r="AT85" s="304">
        <f t="shared" si="47"/>
        <v>1997621.8029083554</v>
      </c>
      <c r="AU85" s="304">
        <f t="shared" si="47"/>
        <v>1997621.8029083554</v>
      </c>
      <c r="AV85" s="304">
        <f t="shared" si="47"/>
        <v>1997621.8029083554</v>
      </c>
      <c r="AW85" s="304">
        <f t="shared" si="47"/>
        <v>1997621.8029083554</v>
      </c>
      <c r="AX85" s="304">
        <f t="shared" si="47"/>
        <v>1997621.8029083554</v>
      </c>
      <c r="AY85" s="304">
        <f t="shared" si="47"/>
        <v>1997621.8029083554</v>
      </c>
      <c r="AZ85" s="304">
        <f t="shared" si="47"/>
        <v>1997621.8029083554</v>
      </c>
      <c r="BA85" s="304">
        <f t="shared" si="47"/>
        <v>1997621.8029083554</v>
      </c>
      <c r="BB85" s="304">
        <f t="shared" si="47"/>
        <v>1997621.8029083554</v>
      </c>
      <c r="BC85" s="304">
        <f t="shared" si="47"/>
        <v>1997621.8029083554</v>
      </c>
      <c r="BD85" s="304">
        <f t="shared" si="47"/>
        <v>1997621.8029083554</v>
      </c>
      <c r="BE85" s="304">
        <f t="shared" si="47"/>
        <v>1997621.8029083554</v>
      </c>
      <c r="BF85" s="304">
        <f t="shared" si="47"/>
        <v>1997621.8029083554</v>
      </c>
      <c r="BG85" s="304">
        <f t="shared" si="47"/>
        <v>1997621.8029083554</v>
      </c>
      <c r="BH85" s="304">
        <f t="shared" si="47"/>
        <v>1997621.8029083554</v>
      </c>
      <c r="BI85" s="304">
        <f t="shared" si="47"/>
        <v>1997621.8029083554</v>
      </c>
      <c r="BJ85" s="304">
        <f t="shared" si="47"/>
        <v>1997621.8029083554</v>
      </c>
      <c r="BK85" s="304">
        <f t="shared" si="47"/>
        <v>1997621.8029083554</v>
      </c>
      <c r="BL85" s="304">
        <f t="shared" si="47"/>
        <v>1997621.8029083554</v>
      </c>
      <c r="BM85" s="304">
        <f t="shared" si="47"/>
        <v>1997621.8029083554</v>
      </c>
      <c r="BN85" s="304">
        <f t="shared" si="47"/>
        <v>1997621.8029083554</v>
      </c>
      <c r="BO85" s="304">
        <f t="shared" si="47"/>
        <v>1997621.8029083554</v>
      </c>
      <c r="BP85" s="304">
        <f t="shared" si="47"/>
        <v>1997621.8029083554</v>
      </c>
      <c r="BQ85" s="304">
        <f t="shared" si="47"/>
        <v>1997621.8029083554</v>
      </c>
      <c r="BR85" s="304">
        <f t="shared" si="47"/>
        <v>1997621.8029083554</v>
      </c>
      <c r="BS85" s="304">
        <f t="shared" si="47"/>
        <v>1997621.8029083554</v>
      </c>
      <c r="BT85" s="304">
        <f t="shared" si="47"/>
        <v>1997621.8029083554</v>
      </c>
      <c r="BU85" s="304">
        <f t="shared" si="47"/>
        <v>1997621.8029083554</v>
      </c>
      <c r="BV85" s="304">
        <f t="shared" si="47"/>
        <v>1997621.8029083554</v>
      </c>
      <c r="BW85" s="304">
        <f t="shared" si="47"/>
        <v>1997621.8029083554</v>
      </c>
      <c r="BX85" s="304">
        <f t="shared" si="47"/>
        <v>1997621.8029083554</v>
      </c>
      <c r="BY85" s="229"/>
      <c r="BZ85" s="229"/>
      <c r="CA85" s="229"/>
    </row>
    <row r="86" spans="2:79">
      <c r="B86" s="229"/>
      <c r="C86" s="229"/>
      <c r="D86" s="229"/>
      <c r="E86" s="229"/>
      <c r="F86" s="229"/>
      <c r="G86" s="229"/>
      <c r="H86" s="229"/>
      <c r="I86" s="229"/>
      <c r="J86" s="229"/>
      <c r="K86" s="229"/>
      <c r="L86" s="229"/>
      <c r="M86" s="229"/>
      <c r="N86" s="229">
        <f>N83+N14+N15</f>
        <v>-5292649.54</v>
      </c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29"/>
      <c r="AA86" s="229"/>
      <c r="AB86" s="229"/>
      <c r="AC86" s="229"/>
      <c r="AD86" s="229"/>
      <c r="AE86" s="229"/>
      <c r="AF86" s="229"/>
      <c r="AG86" s="229"/>
      <c r="AH86" s="229"/>
      <c r="AI86" s="229"/>
      <c r="AJ86" s="229"/>
      <c r="AK86" s="229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29"/>
      <c r="BH86" s="229"/>
      <c r="BI86" s="229"/>
      <c r="BJ86" s="229"/>
      <c r="BK86" s="229"/>
      <c r="BL86" s="229"/>
      <c r="BM86" s="229"/>
      <c r="BN86" s="229"/>
      <c r="BO86" s="229"/>
      <c r="BP86" s="229"/>
      <c r="BQ86" s="229"/>
      <c r="BR86" s="229"/>
      <c r="BS86" s="229"/>
      <c r="BT86" s="229"/>
      <c r="BU86" s="229"/>
      <c r="BV86" s="229"/>
      <c r="BW86" s="229"/>
      <c r="BX86" s="229"/>
      <c r="BY86" s="305">
        <f>AI85-AI56-AI57-SUM(AG12:AI12)-SUM(AG64:AI64)</f>
        <v>7165209.6372798774</v>
      </c>
      <c r="BZ86" s="229"/>
      <c r="CA86" s="229"/>
    </row>
    <row r="87" spans="2:79">
      <c r="B87" s="229"/>
      <c r="C87" s="229"/>
      <c r="D87" s="229"/>
      <c r="E87" s="229"/>
      <c r="F87" s="229"/>
      <c r="G87" s="229"/>
      <c r="H87" s="229"/>
      <c r="I87" s="229"/>
      <c r="J87" s="229"/>
      <c r="K87" s="229"/>
      <c r="L87" s="229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229"/>
      <c r="Y87" s="229"/>
      <c r="Z87" s="229"/>
      <c r="AA87" s="229"/>
      <c r="AB87" s="229"/>
      <c r="AC87" s="229"/>
      <c r="AD87" s="229"/>
      <c r="AE87" s="229"/>
      <c r="AF87" s="229"/>
      <c r="AG87" s="229"/>
      <c r="AH87" s="229"/>
      <c r="AI87" s="229"/>
      <c r="AJ87" s="229"/>
      <c r="AK87" s="229"/>
      <c r="AL87" s="229"/>
      <c r="AM87" s="229"/>
      <c r="AN87" s="229"/>
      <c r="AO87" s="229"/>
      <c r="AP87" s="229"/>
      <c r="AQ87" s="229"/>
      <c r="AR87" s="229"/>
      <c r="AS87" s="229"/>
      <c r="AT87" s="229"/>
      <c r="AU87" s="229"/>
      <c r="AV87" s="229"/>
      <c r="AW87" s="229"/>
      <c r="AX87" s="229"/>
      <c r="AY87" s="229"/>
      <c r="AZ87" s="229"/>
      <c r="BA87" s="229"/>
      <c r="BB87" s="229"/>
      <c r="BC87" s="229"/>
      <c r="BD87" s="229"/>
      <c r="BE87" s="229"/>
      <c r="BF87" s="229"/>
      <c r="BG87" s="229"/>
      <c r="BH87" s="229"/>
      <c r="BI87" s="229"/>
      <c r="BJ87" s="229"/>
      <c r="BK87" s="229"/>
      <c r="BL87" s="229"/>
      <c r="BM87" s="229"/>
      <c r="BN87" s="229"/>
      <c r="BO87" s="229"/>
      <c r="BP87" s="229"/>
      <c r="BQ87" s="229"/>
      <c r="BR87" s="229"/>
      <c r="BS87" s="229"/>
      <c r="BT87" s="229"/>
      <c r="BU87" s="229"/>
      <c r="BV87" s="229"/>
      <c r="BW87" s="229"/>
      <c r="BX87" s="229"/>
      <c r="BY87" s="305"/>
      <c r="BZ87" s="229">
        <f>AI85-SUM(AG12:AI12)-SUM(AI56:AI57)-SUM(AG64:AI64)</f>
        <v>7165209.6372798774</v>
      </c>
      <c r="CA87" s="229"/>
    </row>
    <row r="88" spans="2:79" hidden="1">
      <c r="B88" s="229"/>
      <c r="C88" s="229"/>
      <c r="D88" s="306" t="s">
        <v>259</v>
      </c>
      <c r="E88" s="306"/>
      <c r="F88" s="306"/>
      <c r="G88" s="306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  <c r="AK88" s="307"/>
      <c r="AL88" s="307"/>
      <c r="AM88" s="307"/>
      <c r="AN88" s="307"/>
      <c r="AO88" s="307"/>
      <c r="AP88" s="307"/>
      <c r="AQ88" s="307"/>
      <c r="AR88" s="307"/>
      <c r="AS88" s="307"/>
      <c r="AT88" s="307"/>
      <c r="AU88" s="307"/>
      <c r="AV88" s="307"/>
      <c r="AW88" s="307"/>
      <c r="AX88" s="307"/>
      <c r="AY88" s="307"/>
      <c r="AZ88" s="307"/>
      <c r="BA88" s="307"/>
      <c r="BB88" s="307"/>
      <c r="BC88" s="307"/>
      <c r="BD88" s="307"/>
      <c r="BE88" s="307"/>
      <c r="BF88" s="307"/>
      <c r="BG88" s="307"/>
      <c r="BH88" s="307"/>
      <c r="BI88" s="307"/>
      <c r="BJ88" s="307"/>
      <c r="BK88" s="307"/>
      <c r="BL88" s="307"/>
      <c r="BM88" s="307"/>
      <c r="BN88" s="307"/>
      <c r="BO88" s="307"/>
      <c r="BP88" s="307"/>
      <c r="BQ88" s="307"/>
      <c r="BR88" s="307"/>
      <c r="BS88" s="307"/>
      <c r="BT88" s="307"/>
      <c r="BU88" s="307"/>
      <c r="BV88" s="307"/>
      <c r="BW88" s="307"/>
      <c r="BX88" s="307"/>
      <c r="BY88" s="305"/>
      <c r="BZ88" s="229"/>
      <c r="CA88" s="229"/>
    </row>
    <row r="89" spans="2:79" hidden="1">
      <c r="B89" s="229"/>
      <c r="C89" s="229"/>
      <c r="D89" s="229"/>
      <c r="E89" s="229"/>
      <c r="F89" s="229"/>
      <c r="G89" s="229"/>
      <c r="H89" s="229"/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9"/>
      <c r="X89" s="229"/>
      <c r="Y89" s="229"/>
      <c r="Z89" s="229"/>
      <c r="AA89" s="229"/>
      <c r="AB89" s="229"/>
      <c r="AC89" s="229"/>
      <c r="AD89" s="229"/>
      <c r="AE89" s="229"/>
      <c r="AF89" s="229"/>
      <c r="AG89" s="229"/>
      <c r="AH89" s="229"/>
      <c r="AI89" s="229"/>
      <c r="AJ89" s="229"/>
      <c r="AK89" s="229"/>
      <c r="AL89" s="229"/>
      <c r="AM89" s="229"/>
      <c r="AN89" s="229"/>
      <c r="AO89" s="229"/>
      <c r="AP89" s="229"/>
      <c r="AQ89" s="229"/>
      <c r="AR89" s="229"/>
      <c r="AS89" s="229"/>
      <c r="AT89" s="229"/>
      <c r="AU89" s="229"/>
      <c r="AV89" s="229"/>
      <c r="AW89" s="229"/>
      <c r="AX89" s="229"/>
      <c r="AY89" s="229"/>
      <c r="AZ89" s="229"/>
      <c r="BA89" s="229"/>
      <c r="BB89" s="229"/>
      <c r="BC89" s="229"/>
      <c r="BD89" s="229"/>
      <c r="BE89" s="229"/>
      <c r="BF89" s="229"/>
      <c r="BG89" s="229"/>
      <c r="BH89" s="229"/>
      <c r="BI89" s="229"/>
      <c r="BJ89" s="229"/>
      <c r="BK89" s="229"/>
      <c r="BL89" s="229"/>
      <c r="BM89" s="229"/>
      <c r="BN89" s="229"/>
      <c r="BO89" s="229"/>
      <c r="BP89" s="229"/>
      <c r="BQ89" s="229"/>
      <c r="BR89" s="229"/>
      <c r="BS89" s="229"/>
      <c r="BT89" s="229"/>
      <c r="BU89" s="229"/>
      <c r="BV89" s="229"/>
      <c r="BW89" s="229"/>
      <c r="BX89" s="229"/>
      <c r="BY89" s="305"/>
      <c r="BZ89" s="229"/>
      <c r="CA89" s="229"/>
    </row>
    <row r="90" spans="2:79" hidden="1">
      <c r="B90" s="229"/>
      <c r="C90" s="308" t="s">
        <v>260</v>
      </c>
      <c r="D90" s="309"/>
      <c r="E90" s="310">
        <f>E98+E114+E136+E153</f>
        <v>0</v>
      </c>
      <c r="F90" s="310">
        <f t="shared" ref="F90:H90" si="48">F98+F153</f>
        <v>0</v>
      </c>
      <c r="G90" s="310">
        <f t="shared" si="48"/>
        <v>0</v>
      </c>
      <c r="H90" s="310">
        <f t="shared" si="48"/>
        <v>0</v>
      </c>
      <c r="I90" s="310">
        <f t="shared" ref="I90:AI90" si="49">I98+I114</f>
        <v>-87324</v>
      </c>
      <c r="J90" s="310">
        <f t="shared" si="49"/>
        <v>-100000</v>
      </c>
      <c r="K90" s="310">
        <f t="shared" si="49"/>
        <v>3400000</v>
      </c>
      <c r="L90" s="310">
        <f t="shared" si="49"/>
        <v>-5024500</v>
      </c>
      <c r="M90" s="310">
        <f t="shared" si="49"/>
        <v>-1000</v>
      </c>
      <c r="N90" s="310">
        <f t="shared" si="49"/>
        <v>-80000</v>
      </c>
      <c r="O90" s="310">
        <f t="shared" si="49"/>
        <v>-31000</v>
      </c>
      <c r="P90" s="310">
        <f t="shared" si="49"/>
        <v>-3994008</v>
      </c>
      <c r="Q90" s="310">
        <f t="shared" si="49"/>
        <v>1918824</v>
      </c>
      <c r="R90" s="310">
        <f t="shared" si="49"/>
        <v>0</v>
      </c>
      <c r="S90" s="310">
        <f t="shared" si="49"/>
        <v>0</v>
      </c>
      <c r="T90" s="310">
        <f t="shared" si="49"/>
        <v>-500000</v>
      </c>
      <c r="U90" s="310">
        <f t="shared" si="49"/>
        <v>-203000</v>
      </c>
      <c r="V90" s="310">
        <f t="shared" si="49"/>
        <v>-1100000</v>
      </c>
      <c r="W90" s="310">
        <f t="shared" si="49"/>
        <v>-23300000</v>
      </c>
      <c r="X90" s="310">
        <f t="shared" si="49"/>
        <v>-50000</v>
      </c>
      <c r="Y90" s="310">
        <f t="shared" si="49"/>
        <v>-800000</v>
      </c>
      <c r="Z90" s="310">
        <f t="shared" si="49"/>
        <v>-7460000</v>
      </c>
      <c r="AA90" s="310">
        <f t="shared" si="49"/>
        <v>-7750000</v>
      </c>
      <c r="AB90" s="310">
        <f t="shared" si="49"/>
        <v>-7750000</v>
      </c>
      <c r="AC90" s="310">
        <f t="shared" si="49"/>
        <v>0</v>
      </c>
      <c r="AD90" s="310">
        <f t="shared" si="49"/>
        <v>0</v>
      </c>
      <c r="AE90" s="310">
        <f t="shared" si="49"/>
        <v>0</v>
      </c>
      <c r="AF90" s="310">
        <f t="shared" si="49"/>
        <v>0</v>
      </c>
      <c r="AG90" s="310">
        <f t="shared" si="49"/>
        <v>0</v>
      </c>
      <c r="AH90" s="310">
        <f t="shared" si="49"/>
        <v>0</v>
      </c>
      <c r="AI90" s="310">
        <f t="shared" si="49"/>
        <v>0</v>
      </c>
      <c r="AJ90" s="310">
        <f t="shared" ref="AJ90:BW90" si="50">AJ98+AJ153</f>
        <v>10674306</v>
      </c>
      <c r="AK90" s="310">
        <f t="shared" si="50"/>
        <v>0</v>
      </c>
      <c r="AL90" s="310">
        <f t="shared" si="50"/>
        <v>0</v>
      </c>
      <c r="AM90" s="310">
        <f t="shared" si="50"/>
        <v>0</v>
      </c>
      <c r="AN90" s="310">
        <f t="shared" si="50"/>
        <v>0</v>
      </c>
      <c r="AO90" s="310">
        <f t="shared" si="50"/>
        <v>0</v>
      </c>
      <c r="AP90" s="310">
        <f t="shared" si="50"/>
        <v>0</v>
      </c>
      <c r="AQ90" s="310">
        <f t="shared" si="50"/>
        <v>0</v>
      </c>
      <c r="AR90" s="310">
        <f t="shared" si="50"/>
        <v>0</v>
      </c>
      <c r="AS90" s="310">
        <f t="shared" si="50"/>
        <v>0</v>
      </c>
      <c r="AT90" s="310">
        <f t="shared" si="50"/>
        <v>0</v>
      </c>
      <c r="AU90" s="310">
        <f t="shared" si="50"/>
        <v>0</v>
      </c>
      <c r="AV90" s="310">
        <f t="shared" si="50"/>
        <v>0</v>
      </c>
      <c r="AW90" s="310">
        <f t="shared" si="50"/>
        <v>0</v>
      </c>
      <c r="AX90" s="310">
        <f t="shared" si="50"/>
        <v>0</v>
      </c>
      <c r="AY90" s="310">
        <f t="shared" si="50"/>
        <v>0</v>
      </c>
      <c r="AZ90" s="310">
        <f t="shared" si="50"/>
        <v>0</v>
      </c>
      <c r="BA90" s="310">
        <f t="shared" si="50"/>
        <v>0</v>
      </c>
      <c r="BB90" s="310">
        <f t="shared" si="50"/>
        <v>0</v>
      </c>
      <c r="BC90" s="310">
        <f t="shared" si="50"/>
        <v>0</v>
      </c>
      <c r="BD90" s="310">
        <f t="shared" si="50"/>
        <v>0</v>
      </c>
      <c r="BE90" s="310">
        <f t="shared" si="50"/>
        <v>0</v>
      </c>
      <c r="BF90" s="310">
        <f t="shared" si="50"/>
        <v>0</v>
      </c>
      <c r="BG90" s="310">
        <f t="shared" si="50"/>
        <v>0</v>
      </c>
      <c r="BH90" s="310">
        <f t="shared" si="50"/>
        <v>0</v>
      </c>
      <c r="BI90" s="310">
        <f t="shared" si="50"/>
        <v>0</v>
      </c>
      <c r="BJ90" s="310">
        <f t="shared" si="50"/>
        <v>0</v>
      </c>
      <c r="BK90" s="310">
        <f t="shared" si="50"/>
        <v>0</v>
      </c>
      <c r="BL90" s="310">
        <f t="shared" si="50"/>
        <v>0</v>
      </c>
      <c r="BM90" s="310">
        <f t="shared" si="50"/>
        <v>0</v>
      </c>
      <c r="BN90" s="310">
        <f t="shared" si="50"/>
        <v>0</v>
      </c>
      <c r="BO90" s="310">
        <f t="shared" si="50"/>
        <v>0</v>
      </c>
      <c r="BP90" s="310">
        <f t="shared" si="50"/>
        <v>0</v>
      </c>
      <c r="BQ90" s="310">
        <f t="shared" si="50"/>
        <v>0</v>
      </c>
      <c r="BR90" s="310">
        <f t="shared" si="50"/>
        <v>0</v>
      </c>
      <c r="BS90" s="310">
        <f t="shared" si="50"/>
        <v>0</v>
      </c>
      <c r="BT90" s="310">
        <f t="shared" si="50"/>
        <v>0</v>
      </c>
      <c r="BU90" s="310">
        <f t="shared" si="50"/>
        <v>0</v>
      </c>
      <c r="BV90" s="310">
        <f t="shared" si="50"/>
        <v>0</v>
      </c>
      <c r="BW90" s="310">
        <f t="shared" si="50"/>
        <v>0</v>
      </c>
      <c r="BX90" s="310">
        <f>BX98+BX153+BX85</f>
        <v>1997621.8029083554</v>
      </c>
      <c r="BY90" s="305"/>
      <c r="BZ90" s="229"/>
      <c r="CA90" s="229"/>
    </row>
    <row r="91" spans="2:79" hidden="1">
      <c r="B91" s="229"/>
      <c r="C91" s="311" t="s">
        <v>261</v>
      </c>
      <c r="D91" s="543">
        <f>IRR(I90:BX90)*12</f>
        <v>9.9830800385323819</v>
      </c>
      <c r="E91" s="568"/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29"/>
      <c r="Y91" s="229"/>
      <c r="Z91" s="229"/>
      <c r="AA91" s="229"/>
      <c r="AB91" s="229"/>
      <c r="AC91" s="229"/>
      <c r="AD91" s="229"/>
      <c r="AE91" s="229"/>
      <c r="AF91" s="229"/>
      <c r="AG91" s="229"/>
      <c r="AH91" s="229"/>
      <c r="AI91" s="229"/>
      <c r="AJ91" s="229"/>
      <c r="AK91" s="229"/>
      <c r="AL91" s="229"/>
      <c r="AM91" s="229"/>
      <c r="AN91" s="229"/>
      <c r="AO91" s="229"/>
      <c r="AP91" s="229"/>
      <c r="AQ91" s="229"/>
      <c r="AR91" s="229"/>
      <c r="AS91" s="229"/>
      <c r="AT91" s="229"/>
      <c r="AU91" s="229"/>
      <c r="AV91" s="229"/>
      <c r="AW91" s="229"/>
      <c r="AX91" s="229"/>
      <c r="AY91" s="229"/>
      <c r="AZ91" s="229"/>
      <c r="BA91" s="229"/>
      <c r="BB91" s="229"/>
      <c r="BC91" s="229"/>
      <c r="BD91" s="229"/>
      <c r="BE91" s="229"/>
      <c r="BF91" s="229"/>
      <c r="BG91" s="229"/>
      <c r="BH91" s="229"/>
      <c r="BI91" s="229"/>
      <c r="BJ91" s="229"/>
      <c r="BK91" s="229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  <c r="BY91" s="305"/>
      <c r="BZ91" s="229"/>
      <c r="CA91" s="229"/>
    </row>
    <row r="92" spans="2:79" hidden="1">
      <c r="B92" s="229"/>
      <c r="C92" s="229"/>
      <c r="D92" s="229"/>
      <c r="E92" s="229"/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  <c r="AJ92" s="229"/>
      <c r="AK92" s="229"/>
      <c r="AL92" s="229"/>
      <c r="AM92" s="229"/>
      <c r="AN92" s="229"/>
      <c r="AO92" s="229"/>
      <c r="AP92" s="229"/>
      <c r="AQ92" s="229"/>
      <c r="AR92" s="229"/>
      <c r="AS92" s="229"/>
      <c r="AT92" s="229"/>
      <c r="AU92" s="229"/>
      <c r="AV92" s="229"/>
      <c r="AW92" s="229"/>
      <c r="AX92" s="229"/>
      <c r="AY92" s="229"/>
      <c r="AZ92" s="229"/>
      <c r="BA92" s="229"/>
      <c r="BB92" s="229"/>
      <c r="BC92" s="229"/>
      <c r="BD92" s="229"/>
      <c r="BE92" s="229"/>
      <c r="BF92" s="229"/>
      <c r="BG92" s="229"/>
      <c r="BH92" s="229"/>
      <c r="BI92" s="229"/>
      <c r="BJ92" s="229"/>
      <c r="BK92" s="229"/>
      <c r="BL92" s="229"/>
      <c r="BM92" s="229"/>
      <c r="BN92" s="229"/>
      <c r="BO92" s="229"/>
      <c r="BP92" s="229"/>
      <c r="BQ92" s="229"/>
      <c r="BR92" s="229"/>
      <c r="BS92" s="229"/>
      <c r="BT92" s="229"/>
      <c r="BU92" s="229"/>
      <c r="BV92" s="229"/>
      <c r="BW92" s="229"/>
      <c r="BX92" s="229"/>
      <c r="BY92" s="305"/>
      <c r="BZ92" s="229"/>
      <c r="CA92" s="229"/>
    </row>
    <row r="93" spans="2:79" hidden="1">
      <c r="B93" s="229"/>
      <c r="C93" s="229"/>
      <c r="D93" s="229"/>
      <c r="E93" s="229"/>
      <c r="F93" s="229"/>
      <c r="G93" s="229"/>
      <c r="H93" s="229"/>
      <c r="I93" s="229"/>
      <c r="J93" s="229"/>
      <c r="K93" s="229"/>
      <c r="L93" s="229"/>
      <c r="M93" s="229"/>
      <c r="N93" s="229"/>
      <c r="O93" s="229"/>
      <c r="P93" s="229"/>
      <c r="Q93" s="229"/>
      <c r="R93" s="229"/>
      <c r="S93" s="229"/>
      <c r="T93" s="229"/>
      <c r="U93" s="229"/>
      <c r="V93" s="229"/>
      <c r="W93" s="229"/>
      <c r="X93" s="229"/>
      <c r="Y93" s="229"/>
      <c r="Z93" s="229"/>
      <c r="AA93" s="229"/>
      <c r="AB93" s="229"/>
      <c r="AC93" s="229"/>
      <c r="AD93" s="229"/>
      <c r="AE93" s="229"/>
      <c r="AF93" s="229"/>
      <c r="AG93" s="229"/>
      <c r="AH93" s="229"/>
      <c r="AI93" s="229"/>
      <c r="AJ93" s="229"/>
      <c r="AK93" s="229"/>
      <c r="AL93" s="229"/>
      <c r="AM93" s="229"/>
      <c r="AN93" s="229"/>
      <c r="AO93" s="229"/>
      <c r="AP93" s="229"/>
      <c r="AQ93" s="229"/>
      <c r="AR93" s="229"/>
      <c r="AS93" s="229"/>
      <c r="AT93" s="229"/>
      <c r="AU93" s="229"/>
      <c r="AV93" s="229"/>
      <c r="AW93" s="229"/>
      <c r="AX93" s="229"/>
      <c r="AY93" s="229"/>
      <c r="AZ93" s="229"/>
      <c r="BA93" s="229"/>
      <c r="BB93" s="229"/>
      <c r="BC93" s="229"/>
      <c r="BD93" s="229"/>
      <c r="BE93" s="229"/>
      <c r="BF93" s="229"/>
      <c r="BG93" s="229"/>
      <c r="BH93" s="229"/>
      <c r="BI93" s="229"/>
      <c r="BJ93" s="229"/>
      <c r="BK93" s="229"/>
      <c r="BL93" s="229"/>
      <c r="BM93" s="229"/>
      <c r="BN93" s="229"/>
      <c r="BO93" s="229"/>
      <c r="BP93" s="229"/>
      <c r="BQ93" s="229"/>
      <c r="BR93" s="229"/>
      <c r="BS93" s="229"/>
      <c r="BT93" s="229"/>
      <c r="BU93" s="229"/>
      <c r="BV93" s="229"/>
      <c r="BW93" s="229"/>
      <c r="BX93" s="229"/>
      <c r="BY93" s="305"/>
      <c r="BZ93" s="229"/>
      <c r="CA93" s="229"/>
    </row>
    <row r="94" spans="2:79" ht="17.100000000000001" hidden="1">
      <c r="B94" s="229"/>
      <c r="C94" s="308" t="s">
        <v>262</v>
      </c>
      <c r="D94" s="573"/>
      <c r="E94" s="567"/>
      <c r="F94" s="567"/>
      <c r="G94" s="567"/>
      <c r="H94" s="567"/>
      <c r="I94" s="567"/>
      <c r="J94" s="567"/>
      <c r="K94" s="567"/>
      <c r="L94" s="567"/>
      <c r="M94" s="567"/>
      <c r="N94" s="567"/>
      <c r="O94" s="567"/>
      <c r="P94" s="567"/>
      <c r="Q94" s="567"/>
      <c r="R94" s="567"/>
      <c r="S94" s="567"/>
      <c r="T94" s="567"/>
      <c r="U94" s="567"/>
      <c r="V94" s="567"/>
      <c r="W94" s="567"/>
      <c r="X94" s="567"/>
      <c r="Y94" s="567"/>
      <c r="Z94" s="567"/>
      <c r="AA94" s="567"/>
      <c r="AB94" s="567"/>
      <c r="AC94" s="567"/>
      <c r="AD94" s="567"/>
      <c r="AE94" s="567"/>
      <c r="AF94" s="567"/>
      <c r="AG94" s="567"/>
      <c r="AH94" s="567"/>
      <c r="AI94" s="567"/>
      <c r="AJ94" s="567"/>
      <c r="AK94" s="567"/>
      <c r="AL94" s="567"/>
      <c r="AM94" s="567"/>
      <c r="AN94" s="567"/>
      <c r="AO94" s="567"/>
      <c r="AP94" s="567"/>
      <c r="AQ94" s="567"/>
      <c r="AR94" s="567"/>
      <c r="AS94" s="567"/>
      <c r="AT94" s="567"/>
      <c r="AU94" s="567"/>
      <c r="AV94" s="567"/>
      <c r="AW94" s="567"/>
      <c r="AX94" s="567"/>
      <c r="AY94" s="567"/>
      <c r="AZ94" s="567"/>
      <c r="BA94" s="567"/>
      <c r="BB94" s="567"/>
      <c r="BC94" s="567"/>
      <c r="BD94" s="567"/>
      <c r="BE94" s="567"/>
      <c r="BF94" s="567"/>
      <c r="BG94" s="567"/>
      <c r="BH94" s="567"/>
      <c r="BI94" s="567"/>
      <c r="BJ94" s="567"/>
      <c r="BK94" s="567"/>
      <c r="BL94" s="567"/>
      <c r="BM94" s="567"/>
      <c r="BN94" s="567"/>
      <c r="BO94" s="567"/>
      <c r="BP94" s="567"/>
      <c r="BQ94" s="567"/>
      <c r="BR94" s="567"/>
      <c r="BS94" s="567"/>
      <c r="BT94" s="567"/>
      <c r="BU94" s="567"/>
      <c r="BV94" s="567"/>
      <c r="BW94" s="568"/>
      <c r="BX94" s="313">
        <f>BX85*C95</f>
        <v>399524.36058167112</v>
      </c>
      <c r="BY94" s="305"/>
      <c r="BZ94" s="229"/>
      <c r="CA94" s="229"/>
    </row>
    <row r="95" spans="2:79" ht="18.95" hidden="1">
      <c r="B95" s="229"/>
      <c r="C95" s="314">
        <v>0.2</v>
      </c>
      <c r="D95" s="229"/>
      <c r="E95" s="229"/>
      <c r="F95" s="229"/>
      <c r="G95" s="229"/>
      <c r="H95" s="229"/>
      <c r="I95" s="229"/>
      <c r="J95" s="229"/>
      <c r="K95" s="229"/>
      <c r="L95" s="229"/>
      <c r="M95" s="229"/>
      <c r="N95" s="229"/>
      <c r="O95" s="229"/>
      <c r="P95" s="229"/>
      <c r="Q95" s="229"/>
      <c r="R95" s="229"/>
      <c r="S95" s="229"/>
      <c r="T95" s="229"/>
      <c r="U95" s="229"/>
      <c r="V95" s="229"/>
      <c r="W95" s="229"/>
      <c r="X95" s="229"/>
      <c r="Y95" s="229"/>
      <c r="Z95" s="229"/>
      <c r="AA95" s="229"/>
      <c r="AB95" s="229"/>
      <c r="AC95" s="229"/>
      <c r="AD95" s="229"/>
      <c r="AE95" s="229"/>
      <c r="AF95" s="229"/>
      <c r="AG95" s="229"/>
      <c r="AH95" s="229"/>
      <c r="AI95" s="229"/>
      <c r="AJ95" s="229"/>
      <c r="AK95" s="229"/>
      <c r="AL95" s="229"/>
      <c r="AM95" s="229"/>
      <c r="AN95" s="229"/>
      <c r="AO95" s="229"/>
      <c r="AP95" s="229"/>
      <c r="AQ95" s="229"/>
      <c r="AR95" s="229"/>
      <c r="AS95" s="229"/>
      <c r="AT95" s="229"/>
      <c r="AU95" s="229"/>
      <c r="AV95" s="229"/>
      <c r="AW95" s="229"/>
      <c r="AX95" s="229"/>
      <c r="AY95" s="229"/>
      <c r="AZ95" s="229"/>
      <c r="BA95" s="229"/>
      <c r="BB95" s="229"/>
      <c r="BC95" s="229"/>
      <c r="BD95" s="229"/>
      <c r="BE95" s="229"/>
      <c r="BF95" s="229"/>
      <c r="BG95" s="229"/>
      <c r="BH95" s="229"/>
      <c r="BI95" s="229"/>
      <c r="BJ95" s="229"/>
      <c r="BK95" s="229"/>
      <c r="BL95" s="229"/>
      <c r="BM95" s="229"/>
      <c r="BN95" s="229"/>
      <c r="BO95" s="229"/>
      <c r="BP95" s="229"/>
      <c r="BQ95" s="229"/>
      <c r="BR95" s="229"/>
      <c r="BS95" s="229"/>
      <c r="BT95" s="229"/>
      <c r="BU95" s="229"/>
      <c r="BV95" s="229"/>
      <c r="BW95" s="229"/>
      <c r="BX95" s="229"/>
      <c r="BY95" s="305"/>
      <c r="BZ95" s="229"/>
      <c r="CA95" s="229"/>
    </row>
    <row r="98" spans="3:76">
      <c r="C98" s="308" t="s">
        <v>263</v>
      </c>
      <c r="D98" s="309"/>
      <c r="E98" s="310">
        <f t="shared" ref="E98:BX98" si="51">-(E5+E75)</f>
        <v>0</v>
      </c>
      <c r="F98" s="310">
        <f t="shared" si="51"/>
        <v>0</v>
      </c>
      <c r="G98" s="310">
        <f t="shared" si="51"/>
        <v>0</v>
      </c>
      <c r="H98" s="310">
        <f t="shared" si="51"/>
        <v>0</v>
      </c>
      <c r="I98" s="310">
        <f t="shared" si="51"/>
        <v>-87324</v>
      </c>
      <c r="J98" s="310">
        <f t="shared" si="51"/>
        <v>-100000</v>
      </c>
      <c r="K98" s="310">
        <f t="shared" si="51"/>
        <v>3400000</v>
      </c>
      <c r="L98" s="310">
        <f t="shared" si="51"/>
        <v>-5024500</v>
      </c>
      <c r="M98" s="310">
        <f t="shared" si="51"/>
        <v>-1000</v>
      </c>
      <c r="N98" s="310">
        <f t="shared" si="51"/>
        <v>-80000</v>
      </c>
      <c r="O98" s="310">
        <f t="shared" si="51"/>
        <v>-31000</v>
      </c>
      <c r="P98" s="310">
        <f t="shared" si="51"/>
        <v>0</v>
      </c>
      <c r="Q98" s="310">
        <f t="shared" si="51"/>
        <v>1918824</v>
      </c>
      <c r="R98" s="310">
        <f t="shared" si="51"/>
        <v>0</v>
      </c>
      <c r="S98" s="310">
        <f t="shared" si="51"/>
        <v>0</v>
      </c>
      <c r="T98" s="310">
        <f t="shared" si="51"/>
        <v>0</v>
      </c>
      <c r="U98" s="310">
        <f t="shared" si="51"/>
        <v>-203000</v>
      </c>
      <c r="V98" s="310">
        <f t="shared" si="51"/>
        <v>-1100000</v>
      </c>
      <c r="W98" s="310">
        <f t="shared" si="51"/>
        <v>-4216306</v>
      </c>
      <c r="X98" s="310">
        <f t="shared" si="51"/>
        <v>-50000</v>
      </c>
      <c r="Y98" s="310">
        <f t="shared" si="51"/>
        <v>-200000</v>
      </c>
      <c r="Z98" s="310">
        <f t="shared" si="51"/>
        <v>-1700000</v>
      </c>
      <c r="AA98" s="310">
        <f t="shared" si="51"/>
        <v>-1550000</v>
      </c>
      <c r="AB98" s="310">
        <f t="shared" si="51"/>
        <v>-1650000</v>
      </c>
      <c r="AC98" s="310">
        <f t="shared" si="51"/>
        <v>0</v>
      </c>
      <c r="AD98" s="310">
        <f t="shared" si="51"/>
        <v>0</v>
      </c>
      <c r="AE98" s="310">
        <f t="shared" si="51"/>
        <v>0</v>
      </c>
      <c r="AF98" s="310">
        <f t="shared" si="51"/>
        <v>0</v>
      </c>
      <c r="AG98" s="310">
        <f t="shared" si="51"/>
        <v>0</v>
      </c>
      <c r="AH98" s="310">
        <f t="shared" si="51"/>
        <v>0</v>
      </c>
      <c r="AI98" s="310">
        <f t="shared" si="51"/>
        <v>0</v>
      </c>
      <c r="AJ98" s="310">
        <f t="shared" si="51"/>
        <v>10674306</v>
      </c>
      <c r="AK98" s="310">
        <f t="shared" si="51"/>
        <v>0</v>
      </c>
      <c r="AL98" s="310">
        <f t="shared" si="51"/>
        <v>0</v>
      </c>
      <c r="AM98" s="310">
        <f t="shared" si="51"/>
        <v>0</v>
      </c>
      <c r="AN98" s="310">
        <f t="shared" si="51"/>
        <v>0</v>
      </c>
      <c r="AO98" s="310">
        <f t="shared" si="51"/>
        <v>0</v>
      </c>
      <c r="AP98" s="310">
        <f t="shared" si="51"/>
        <v>0</v>
      </c>
      <c r="AQ98" s="310">
        <f t="shared" si="51"/>
        <v>0</v>
      </c>
      <c r="AR98" s="310">
        <f t="shared" si="51"/>
        <v>0</v>
      </c>
      <c r="AS98" s="310">
        <f t="shared" si="51"/>
        <v>0</v>
      </c>
      <c r="AT98" s="310">
        <f t="shared" si="51"/>
        <v>0</v>
      </c>
      <c r="AU98" s="310">
        <f t="shared" si="51"/>
        <v>0</v>
      </c>
      <c r="AV98" s="310">
        <f t="shared" si="51"/>
        <v>0</v>
      </c>
      <c r="AW98" s="310">
        <f t="shared" si="51"/>
        <v>0</v>
      </c>
      <c r="AX98" s="310">
        <f t="shared" si="51"/>
        <v>0</v>
      </c>
      <c r="AY98" s="310">
        <f t="shared" si="51"/>
        <v>0</v>
      </c>
      <c r="AZ98" s="310">
        <f t="shared" si="51"/>
        <v>0</v>
      </c>
      <c r="BA98" s="310">
        <f t="shared" si="51"/>
        <v>0</v>
      </c>
      <c r="BB98" s="310">
        <f t="shared" si="51"/>
        <v>0</v>
      </c>
      <c r="BC98" s="310">
        <f t="shared" si="51"/>
        <v>0</v>
      </c>
      <c r="BD98" s="310">
        <f t="shared" si="51"/>
        <v>0</v>
      </c>
      <c r="BE98" s="310">
        <f t="shared" si="51"/>
        <v>0</v>
      </c>
      <c r="BF98" s="310">
        <f t="shared" si="51"/>
        <v>0</v>
      </c>
      <c r="BG98" s="310">
        <f t="shared" si="51"/>
        <v>0</v>
      </c>
      <c r="BH98" s="310">
        <f t="shared" si="51"/>
        <v>0</v>
      </c>
      <c r="BI98" s="310">
        <f t="shared" si="51"/>
        <v>0</v>
      </c>
      <c r="BJ98" s="310">
        <f t="shared" si="51"/>
        <v>0</v>
      </c>
      <c r="BK98" s="310">
        <f t="shared" si="51"/>
        <v>0</v>
      </c>
      <c r="BL98" s="310">
        <f t="shared" si="51"/>
        <v>0</v>
      </c>
      <c r="BM98" s="310">
        <f t="shared" si="51"/>
        <v>0</v>
      </c>
      <c r="BN98" s="310">
        <f t="shared" si="51"/>
        <v>0</v>
      </c>
      <c r="BO98" s="310">
        <f t="shared" si="51"/>
        <v>0</v>
      </c>
      <c r="BP98" s="310">
        <f t="shared" si="51"/>
        <v>0</v>
      </c>
      <c r="BQ98" s="310">
        <f t="shared" si="51"/>
        <v>0</v>
      </c>
      <c r="BR98" s="310">
        <f t="shared" si="51"/>
        <v>0</v>
      </c>
      <c r="BS98" s="310">
        <f t="shared" si="51"/>
        <v>0</v>
      </c>
      <c r="BT98" s="310">
        <f t="shared" si="51"/>
        <v>0</v>
      </c>
      <c r="BU98" s="310">
        <f t="shared" si="51"/>
        <v>0</v>
      </c>
      <c r="BV98" s="310">
        <f t="shared" si="51"/>
        <v>0</v>
      </c>
      <c r="BW98" s="310">
        <f t="shared" si="51"/>
        <v>0</v>
      </c>
      <c r="BX98" s="310">
        <f t="shared" si="51"/>
        <v>0</v>
      </c>
    </row>
    <row r="99" spans="3:76">
      <c r="C99" s="308" t="s">
        <v>264</v>
      </c>
      <c r="D99" s="317"/>
      <c r="E99" s="309"/>
      <c r="F99" s="309"/>
      <c r="G99" s="309"/>
      <c r="H99" s="309"/>
      <c r="I99" s="309"/>
      <c r="J99" s="309"/>
      <c r="K99" s="309"/>
      <c r="L99" s="309"/>
      <c r="M99" s="309"/>
      <c r="N99" s="309"/>
      <c r="O99" s="309"/>
      <c r="P99" s="309"/>
      <c r="Q99" s="309"/>
      <c r="R99" s="309"/>
      <c r="S99" s="309"/>
      <c r="T99" s="309"/>
      <c r="U99" s="309"/>
      <c r="V99" s="309"/>
      <c r="W99" s="309"/>
      <c r="X99" s="309"/>
      <c r="Y99" s="309"/>
      <c r="Z99" s="309"/>
      <c r="AA99" s="309"/>
      <c r="AB99" s="309"/>
      <c r="AC99" s="309"/>
      <c r="AD99" s="309"/>
      <c r="AE99" s="309"/>
      <c r="AF99" s="309"/>
      <c r="AG99" s="309"/>
      <c r="AH99" s="309"/>
      <c r="AI99" s="309"/>
      <c r="AJ99" s="309"/>
      <c r="AK99" s="309"/>
      <c r="AL99" s="309"/>
      <c r="AM99" s="309"/>
      <c r="AN99" s="309"/>
      <c r="AO99" s="309"/>
      <c r="AP99" s="309"/>
      <c r="AQ99" s="309"/>
      <c r="AR99" s="309"/>
      <c r="AS99" s="309"/>
      <c r="AT99" s="309"/>
      <c r="AU99" s="309"/>
      <c r="AV99" s="309"/>
      <c r="AW99" s="309"/>
      <c r="AX99" s="309"/>
      <c r="AY99" s="309"/>
      <c r="AZ99" s="309"/>
      <c r="BA99" s="309"/>
      <c r="BB99" s="309"/>
      <c r="BC99" s="309"/>
      <c r="BD99" s="309"/>
      <c r="BE99" s="309"/>
      <c r="BF99" s="309"/>
      <c r="BG99" s="309"/>
      <c r="BH99" s="309"/>
      <c r="BI99" s="309"/>
      <c r="BJ99" s="309"/>
      <c r="BK99" s="309"/>
      <c r="BL99" s="309"/>
      <c r="BM99" s="309"/>
      <c r="BN99" s="309"/>
      <c r="BO99" s="309"/>
      <c r="BP99" s="309"/>
      <c r="BQ99" s="309"/>
      <c r="BR99" s="309"/>
      <c r="BS99" s="309"/>
      <c r="BT99" s="309"/>
      <c r="BU99" s="309"/>
      <c r="BV99" s="309"/>
      <c r="BW99" s="309"/>
      <c r="BX99" s="309"/>
    </row>
    <row r="100" spans="3:76">
      <c r="C100" s="308" t="s">
        <v>265</v>
      </c>
      <c r="D100" s="317"/>
      <c r="E100" s="309">
        <f t="shared" ref="E100:BX100" si="52">-E56</f>
        <v>0</v>
      </c>
      <c r="F100" s="309">
        <f t="shared" si="52"/>
        <v>0</v>
      </c>
      <c r="G100" s="309">
        <f t="shared" si="52"/>
        <v>0</v>
      </c>
      <c r="H100" s="309">
        <f t="shared" si="52"/>
        <v>0</v>
      </c>
      <c r="I100" s="309">
        <f t="shared" si="52"/>
        <v>0</v>
      </c>
      <c r="J100" s="309">
        <f t="shared" si="52"/>
        <v>0</v>
      </c>
      <c r="K100" s="309">
        <f t="shared" si="52"/>
        <v>0</v>
      </c>
      <c r="L100" s="309">
        <f t="shared" si="52"/>
        <v>0</v>
      </c>
      <c r="M100" s="309">
        <f t="shared" si="52"/>
        <v>0</v>
      </c>
      <c r="N100" s="309">
        <f t="shared" si="52"/>
        <v>0</v>
      </c>
      <c r="O100" s="309">
        <f t="shared" si="52"/>
        <v>0</v>
      </c>
      <c r="P100" s="309">
        <f t="shared" si="52"/>
        <v>0</v>
      </c>
      <c r="Q100" s="309">
        <f t="shared" si="52"/>
        <v>113313</v>
      </c>
      <c r="R100" s="309">
        <f t="shared" si="52"/>
        <v>0</v>
      </c>
      <c r="S100" s="309">
        <f t="shared" si="52"/>
        <v>0</v>
      </c>
      <c r="T100" s="309">
        <f t="shared" si="52"/>
        <v>0</v>
      </c>
      <c r="U100" s="309">
        <f t="shared" si="52"/>
        <v>0</v>
      </c>
      <c r="V100" s="309">
        <f t="shared" si="52"/>
        <v>0</v>
      </c>
      <c r="W100" s="309">
        <f t="shared" si="52"/>
        <v>0</v>
      </c>
      <c r="X100" s="309">
        <f t="shared" si="52"/>
        <v>0</v>
      </c>
      <c r="Y100" s="309">
        <f t="shared" si="52"/>
        <v>0</v>
      </c>
      <c r="Z100" s="309">
        <f t="shared" si="52"/>
        <v>0</v>
      </c>
      <c r="AA100" s="309">
        <f t="shared" si="52"/>
        <v>0</v>
      </c>
      <c r="AB100" s="309">
        <f t="shared" si="52"/>
        <v>0</v>
      </c>
      <c r="AC100" s="309">
        <f t="shared" si="52"/>
        <v>0</v>
      </c>
      <c r="AD100" s="309">
        <f t="shared" si="52"/>
        <v>0</v>
      </c>
      <c r="AE100" s="309">
        <f t="shared" si="52"/>
        <v>0</v>
      </c>
      <c r="AF100" s="309">
        <f t="shared" si="52"/>
        <v>0</v>
      </c>
      <c r="AG100" s="309">
        <f t="shared" si="52"/>
        <v>0</v>
      </c>
      <c r="AH100" s="309">
        <f t="shared" si="52"/>
        <v>0</v>
      </c>
      <c r="AI100" s="309">
        <f t="shared" si="52"/>
        <v>0</v>
      </c>
      <c r="AJ100" s="309">
        <f t="shared" si="52"/>
        <v>860897.51000000024</v>
      </c>
      <c r="AK100" s="309">
        <f t="shared" si="52"/>
        <v>0</v>
      </c>
      <c r="AL100" s="309">
        <f t="shared" si="52"/>
        <v>0</v>
      </c>
      <c r="AM100" s="309">
        <f t="shared" si="52"/>
        <v>0</v>
      </c>
      <c r="AN100" s="309">
        <f t="shared" si="52"/>
        <v>0</v>
      </c>
      <c r="AO100" s="309">
        <f t="shared" si="52"/>
        <v>0</v>
      </c>
      <c r="AP100" s="309">
        <f t="shared" si="52"/>
        <v>0</v>
      </c>
      <c r="AQ100" s="309">
        <f t="shared" si="52"/>
        <v>0</v>
      </c>
      <c r="AR100" s="309">
        <f t="shared" si="52"/>
        <v>0</v>
      </c>
      <c r="AS100" s="309">
        <f t="shared" si="52"/>
        <v>0</v>
      </c>
      <c r="AT100" s="309">
        <f t="shared" si="52"/>
        <v>0</v>
      </c>
      <c r="AU100" s="309">
        <f t="shared" si="52"/>
        <v>0</v>
      </c>
      <c r="AV100" s="309">
        <f t="shared" si="52"/>
        <v>0</v>
      </c>
      <c r="AW100" s="309">
        <f t="shared" si="52"/>
        <v>0</v>
      </c>
      <c r="AX100" s="309">
        <f t="shared" si="52"/>
        <v>0</v>
      </c>
      <c r="AY100" s="309">
        <f t="shared" si="52"/>
        <v>0</v>
      </c>
      <c r="AZ100" s="309">
        <f t="shared" si="52"/>
        <v>0</v>
      </c>
      <c r="BA100" s="309">
        <f t="shared" si="52"/>
        <v>0</v>
      </c>
      <c r="BB100" s="309">
        <f t="shared" si="52"/>
        <v>0</v>
      </c>
      <c r="BC100" s="309">
        <f t="shared" si="52"/>
        <v>0</v>
      </c>
      <c r="BD100" s="309">
        <f t="shared" si="52"/>
        <v>0</v>
      </c>
      <c r="BE100" s="309">
        <f t="shared" si="52"/>
        <v>0</v>
      </c>
      <c r="BF100" s="309">
        <f t="shared" si="52"/>
        <v>0</v>
      </c>
      <c r="BG100" s="309">
        <f t="shared" si="52"/>
        <v>0</v>
      </c>
      <c r="BH100" s="309">
        <f t="shared" si="52"/>
        <v>0</v>
      </c>
      <c r="BI100" s="309">
        <f t="shared" si="52"/>
        <v>0</v>
      </c>
      <c r="BJ100" s="309">
        <f t="shared" si="52"/>
        <v>0</v>
      </c>
      <c r="BK100" s="309">
        <f t="shared" si="52"/>
        <v>0</v>
      </c>
      <c r="BL100" s="309">
        <f t="shared" si="52"/>
        <v>0</v>
      </c>
      <c r="BM100" s="309">
        <f t="shared" si="52"/>
        <v>0</v>
      </c>
      <c r="BN100" s="309">
        <f t="shared" si="52"/>
        <v>0</v>
      </c>
      <c r="BO100" s="309">
        <f t="shared" si="52"/>
        <v>0</v>
      </c>
      <c r="BP100" s="309">
        <f t="shared" si="52"/>
        <v>0</v>
      </c>
      <c r="BQ100" s="309">
        <f t="shared" si="52"/>
        <v>0</v>
      </c>
      <c r="BR100" s="309">
        <f t="shared" si="52"/>
        <v>0</v>
      </c>
      <c r="BS100" s="309">
        <f t="shared" si="52"/>
        <v>0</v>
      </c>
      <c r="BT100" s="309">
        <f t="shared" si="52"/>
        <v>0</v>
      </c>
      <c r="BU100" s="309">
        <f t="shared" si="52"/>
        <v>0</v>
      </c>
      <c r="BV100" s="309">
        <f t="shared" si="52"/>
        <v>0</v>
      </c>
      <c r="BW100" s="309">
        <f t="shared" si="52"/>
        <v>0</v>
      </c>
      <c r="BX100" s="309">
        <f t="shared" si="52"/>
        <v>0</v>
      </c>
    </row>
    <row r="101" spans="3:76">
      <c r="C101" s="308" t="s">
        <v>266</v>
      </c>
      <c r="D101" s="317"/>
      <c r="E101" s="309"/>
      <c r="F101" s="309"/>
      <c r="G101" s="309"/>
      <c r="H101" s="309"/>
      <c r="I101" s="309"/>
      <c r="J101" s="309"/>
      <c r="K101" s="309"/>
      <c r="L101" s="309"/>
      <c r="M101" s="309"/>
      <c r="N101" s="309"/>
      <c r="O101" s="309"/>
      <c r="P101" s="309"/>
      <c r="Q101" s="309"/>
      <c r="R101" s="309"/>
      <c r="S101" s="309"/>
      <c r="T101" s="309"/>
      <c r="U101" s="309"/>
      <c r="V101" s="309"/>
      <c r="W101" s="309"/>
      <c r="X101" s="309"/>
      <c r="Y101" s="309"/>
      <c r="Z101" s="309"/>
      <c r="AA101" s="309"/>
      <c r="AB101" s="309"/>
      <c r="AC101" s="309"/>
      <c r="AD101" s="309"/>
      <c r="AE101" s="309"/>
      <c r="AF101" s="309"/>
      <c r="AG101" s="309"/>
      <c r="AH101" s="309"/>
      <c r="AI101" s="309"/>
      <c r="AJ101" s="309">
        <f>AJ85*$D$103</f>
        <v>399524.36058167112</v>
      </c>
      <c r="AK101" s="309"/>
      <c r="AL101" s="309"/>
      <c r="AM101" s="309"/>
      <c r="AN101" s="309"/>
      <c r="AO101" s="309"/>
      <c r="AP101" s="309"/>
      <c r="AQ101" s="309"/>
      <c r="AR101" s="309"/>
      <c r="AS101" s="309"/>
      <c r="AT101" s="309"/>
      <c r="AU101" s="309"/>
      <c r="AV101" s="309"/>
      <c r="AW101" s="309"/>
      <c r="AX101" s="309"/>
      <c r="AY101" s="309"/>
      <c r="AZ101" s="309"/>
      <c r="BA101" s="309"/>
      <c r="BB101" s="309"/>
      <c r="BC101" s="309"/>
      <c r="BD101" s="309"/>
      <c r="BE101" s="309"/>
      <c r="BF101" s="309"/>
      <c r="BG101" s="309"/>
      <c r="BH101" s="309"/>
      <c r="BI101" s="309"/>
      <c r="BJ101" s="309"/>
      <c r="BK101" s="309"/>
      <c r="BL101" s="309"/>
      <c r="BM101" s="309"/>
      <c r="BN101" s="309"/>
      <c r="BO101" s="309"/>
      <c r="BP101" s="309"/>
      <c r="BQ101" s="309"/>
      <c r="BR101" s="309"/>
      <c r="BS101" s="309"/>
      <c r="BT101" s="309"/>
      <c r="BU101" s="309"/>
      <c r="BV101" s="309"/>
      <c r="BW101" s="309"/>
      <c r="BX101" s="309">
        <f>IF(D91&gt;0.25,(BX85-BX94)*D103,BX85*D103)</f>
        <v>319619.48846533685</v>
      </c>
    </row>
    <row r="102" spans="3:76">
      <c r="C102" s="308" t="s">
        <v>262</v>
      </c>
      <c r="D102" s="317"/>
      <c r="E102" s="309"/>
      <c r="F102" s="309"/>
      <c r="G102" s="309"/>
      <c r="H102" s="309"/>
      <c r="I102" s="309"/>
      <c r="J102" s="309"/>
      <c r="K102" s="309"/>
      <c r="L102" s="309"/>
      <c r="M102" s="309"/>
      <c r="N102" s="309"/>
      <c r="O102" s="309"/>
      <c r="P102" s="309"/>
      <c r="Q102" s="309"/>
      <c r="R102" s="309"/>
      <c r="S102" s="309"/>
      <c r="T102" s="309"/>
      <c r="U102" s="309"/>
      <c r="V102" s="309"/>
      <c r="W102" s="309"/>
      <c r="X102" s="309"/>
      <c r="Y102" s="309"/>
      <c r="Z102" s="309"/>
      <c r="AA102" s="309"/>
      <c r="AB102" s="309"/>
      <c r="AC102" s="309"/>
      <c r="AD102" s="309"/>
      <c r="AE102" s="309"/>
      <c r="AF102" s="309"/>
      <c r="AG102" s="309"/>
      <c r="AH102" s="309"/>
      <c r="AI102" s="309"/>
      <c r="AJ102" s="309"/>
      <c r="AK102" s="309"/>
      <c r="AL102" s="309"/>
      <c r="AM102" s="309"/>
      <c r="AN102" s="309"/>
      <c r="AO102" s="309"/>
      <c r="AP102" s="309"/>
      <c r="AQ102" s="309"/>
      <c r="AR102" s="309"/>
      <c r="AS102" s="309"/>
      <c r="AT102" s="309"/>
      <c r="AU102" s="309"/>
      <c r="AV102" s="309"/>
      <c r="AW102" s="309"/>
      <c r="AX102" s="309"/>
      <c r="AY102" s="309"/>
      <c r="AZ102" s="309"/>
      <c r="BA102" s="309"/>
      <c r="BB102" s="309"/>
      <c r="BC102" s="309"/>
      <c r="BD102" s="309"/>
      <c r="BE102" s="309"/>
      <c r="BF102" s="309"/>
      <c r="BG102" s="309"/>
      <c r="BH102" s="309"/>
      <c r="BI102" s="309"/>
      <c r="BJ102" s="309"/>
      <c r="BK102" s="309"/>
      <c r="BL102" s="309"/>
      <c r="BM102" s="309"/>
      <c r="BN102" s="309"/>
      <c r="BO102" s="309"/>
      <c r="BP102" s="309"/>
      <c r="BQ102" s="309"/>
      <c r="BR102" s="309"/>
      <c r="BS102" s="309"/>
      <c r="BT102" s="309"/>
      <c r="BU102" s="309"/>
      <c r="BV102" s="309"/>
      <c r="BW102" s="309"/>
      <c r="BX102" s="309">
        <f>IF(D91&gt;0.25,BX94,0)</f>
        <v>399524.36058167112</v>
      </c>
    </row>
    <row r="103" spans="3:76">
      <c r="C103" s="311" t="s">
        <v>267</v>
      </c>
      <c r="D103" s="317">
        <v>0.2</v>
      </c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  <c r="S103" s="250"/>
      <c r="T103" s="250"/>
      <c r="U103" s="250"/>
      <c r="V103" s="250"/>
      <c r="W103" s="250"/>
      <c r="X103" s="250"/>
      <c r="Y103" s="250"/>
      <c r="Z103" s="250"/>
      <c r="AA103" s="250"/>
      <c r="AB103" s="250"/>
      <c r="AC103" s="250"/>
      <c r="AD103" s="250"/>
      <c r="AE103" s="250"/>
      <c r="AF103" s="250"/>
      <c r="AG103" s="250"/>
      <c r="AH103" s="250"/>
      <c r="AI103" s="250"/>
      <c r="AJ103" s="250"/>
      <c r="AK103" s="250"/>
      <c r="AL103" s="250"/>
      <c r="AM103" s="250"/>
      <c r="AN103" s="250"/>
      <c r="AO103" s="250"/>
      <c r="AP103" s="250"/>
      <c r="AQ103" s="250"/>
      <c r="AR103" s="250"/>
      <c r="AS103" s="250"/>
      <c r="AT103" s="250"/>
      <c r="AU103" s="250"/>
      <c r="AV103" s="250"/>
      <c r="AW103" s="250"/>
      <c r="AX103" s="250"/>
      <c r="AY103" s="250"/>
      <c r="AZ103" s="250"/>
      <c r="BA103" s="250"/>
      <c r="BB103" s="250"/>
      <c r="BC103" s="318"/>
      <c r="BD103" s="250"/>
      <c r="BE103" s="250"/>
      <c r="BF103" s="250"/>
      <c r="BG103" s="250"/>
      <c r="BH103" s="250"/>
      <c r="BI103" s="250"/>
      <c r="BJ103" s="250"/>
      <c r="BK103" s="250"/>
      <c r="BL103" s="250"/>
      <c r="BM103" s="250"/>
      <c r="BN103" s="250"/>
      <c r="BO103" s="250"/>
      <c r="BP103" s="250"/>
      <c r="BQ103" s="250"/>
      <c r="BR103" s="250"/>
      <c r="BS103" s="250"/>
      <c r="BT103" s="250"/>
      <c r="BU103" s="250"/>
      <c r="BV103" s="250"/>
      <c r="BW103" s="250"/>
      <c r="BX103" s="250"/>
    </row>
    <row r="104" spans="3:76">
      <c r="C104" s="308" t="s">
        <v>268</v>
      </c>
      <c r="D104" s="312"/>
      <c r="E104" s="319">
        <f t="shared" ref="E104:BW104" si="53">E98+E99+E100+E101+E103</f>
        <v>0</v>
      </c>
      <c r="F104" s="319">
        <f t="shared" si="53"/>
        <v>0</v>
      </c>
      <c r="G104" s="319">
        <f t="shared" si="53"/>
        <v>0</v>
      </c>
      <c r="H104" s="319">
        <f t="shared" si="53"/>
        <v>0</v>
      </c>
      <c r="I104" s="319">
        <f t="shared" si="53"/>
        <v>-87324</v>
      </c>
      <c r="J104" s="319">
        <f t="shared" si="53"/>
        <v>-100000</v>
      </c>
      <c r="K104" s="319">
        <f t="shared" si="53"/>
        <v>3400000</v>
      </c>
      <c r="L104" s="319">
        <f t="shared" si="53"/>
        <v>-5024500</v>
      </c>
      <c r="M104" s="319">
        <f t="shared" si="53"/>
        <v>-1000</v>
      </c>
      <c r="N104" s="319">
        <f t="shared" si="53"/>
        <v>-80000</v>
      </c>
      <c r="O104" s="319">
        <f t="shared" si="53"/>
        <v>-31000</v>
      </c>
      <c r="P104" s="319">
        <f t="shared" si="53"/>
        <v>0</v>
      </c>
      <c r="Q104" s="319">
        <f t="shared" si="53"/>
        <v>2032137</v>
      </c>
      <c r="R104" s="319">
        <f t="shared" si="53"/>
        <v>0</v>
      </c>
      <c r="S104" s="319">
        <f t="shared" si="53"/>
        <v>0</v>
      </c>
      <c r="T104" s="319">
        <f t="shared" si="53"/>
        <v>0</v>
      </c>
      <c r="U104" s="319">
        <f t="shared" si="53"/>
        <v>-203000</v>
      </c>
      <c r="V104" s="319">
        <f t="shared" si="53"/>
        <v>-1100000</v>
      </c>
      <c r="W104" s="319">
        <f t="shared" si="53"/>
        <v>-4216306</v>
      </c>
      <c r="X104" s="319">
        <f t="shared" si="53"/>
        <v>-50000</v>
      </c>
      <c r="Y104" s="319">
        <f t="shared" si="53"/>
        <v>-200000</v>
      </c>
      <c r="Z104" s="319">
        <f t="shared" si="53"/>
        <v>-1700000</v>
      </c>
      <c r="AA104" s="319">
        <f t="shared" si="53"/>
        <v>-1550000</v>
      </c>
      <c r="AB104" s="319">
        <f t="shared" si="53"/>
        <v>-1650000</v>
      </c>
      <c r="AC104" s="319">
        <f t="shared" si="53"/>
        <v>0</v>
      </c>
      <c r="AD104" s="319">
        <f t="shared" si="53"/>
        <v>0</v>
      </c>
      <c r="AE104" s="319">
        <f t="shared" si="53"/>
        <v>0</v>
      </c>
      <c r="AF104" s="319">
        <f t="shared" si="53"/>
        <v>0</v>
      </c>
      <c r="AG104" s="319">
        <f t="shared" si="53"/>
        <v>0</v>
      </c>
      <c r="AH104" s="319">
        <f t="shared" si="53"/>
        <v>0</v>
      </c>
      <c r="AI104" s="319">
        <f t="shared" si="53"/>
        <v>0</v>
      </c>
      <c r="AJ104" s="319">
        <f t="shared" si="53"/>
        <v>11934727.870581672</v>
      </c>
      <c r="AK104" s="319">
        <f t="shared" si="53"/>
        <v>0</v>
      </c>
      <c r="AL104" s="319">
        <f t="shared" si="53"/>
        <v>0</v>
      </c>
      <c r="AM104" s="319">
        <f t="shared" si="53"/>
        <v>0</v>
      </c>
      <c r="AN104" s="319">
        <f t="shared" si="53"/>
        <v>0</v>
      </c>
      <c r="AO104" s="319">
        <f t="shared" si="53"/>
        <v>0</v>
      </c>
      <c r="AP104" s="319">
        <f t="shared" si="53"/>
        <v>0</v>
      </c>
      <c r="AQ104" s="319">
        <f t="shared" si="53"/>
        <v>0</v>
      </c>
      <c r="AR104" s="319">
        <f t="shared" si="53"/>
        <v>0</v>
      </c>
      <c r="AS104" s="319">
        <f t="shared" si="53"/>
        <v>0</v>
      </c>
      <c r="AT104" s="319">
        <f t="shared" si="53"/>
        <v>0</v>
      </c>
      <c r="AU104" s="319">
        <f t="shared" si="53"/>
        <v>0</v>
      </c>
      <c r="AV104" s="319">
        <f t="shared" si="53"/>
        <v>0</v>
      </c>
      <c r="AW104" s="319">
        <f t="shared" si="53"/>
        <v>0</v>
      </c>
      <c r="AX104" s="319">
        <f t="shared" si="53"/>
        <v>0</v>
      </c>
      <c r="AY104" s="319">
        <f t="shared" si="53"/>
        <v>0</v>
      </c>
      <c r="AZ104" s="319">
        <f t="shared" si="53"/>
        <v>0</v>
      </c>
      <c r="BA104" s="319">
        <f t="shared" si="53"/>
        <v>0</v>
      </c>
      <c r="BB104" s="319">
        <f t="shared" si="53"/>
        <v>0</v>
      </c>
      <c r="BC104" s="319">
        <f t="shared" si="53"/>
        <v>0</v>
      </c>
      <c r="BD104" s="319">
        <f t="shared" si="53"/>
        <v>0</v>
      </c>
      <c r="BE104" s="319">
        <f t="shared" si="53"/>
        <v>0</v>
      </c>
      <c r="BF104" s="319">
        <f t="shared" si="53"/>
        <v>0</v>
      </c>
      <c r="BG104" s="319">
        <f t="shared" si="53"/>
        <v>0</v>
      </c>
      <c r="BH104" s="319">
        <f t="shared" si="53"/>
        <v>0</v>
      </c>
      <c r="BI104" s="319">
        <f t="shared" si="53"/>
        <v>0</v>
      </c>
      <c r="BJ104" s="319">
        <f t="shared" si="53"/>
        <v>0</v>
      </c>
      <c r="BK104" s="319">
        <f t="shared" si="53"/>
        <v>0</v>
      </c>
      <c r="BL104" s="319">
        <f t="shared" si="53"/>
        <v>0</v>
      </c>
      <c r="BM104" s="319">
        <f t="shared" si="53"/>
        <v>0</v>
      </c>
      <c r="BN104" s="319">
        <f t="shared" si="53"/>
        <v>0</v>
      </c>
      <c r="BO104" s="319">
        <f t="shared" si="53"/>
        <v>0</v>
      </c>
      <c r="BP104" s="319">
        <f t="shared" si="53"/>
        <v>0</v>
      </c>
      <c r="BQ104" s="319">
        <f t="shared" si="53"/>
        <v>0</v>
      </c>
      <c r="BR104" s="319">
        <f t="shared" si="53"/>
        <v>0</v>
      </c>
      <c r="BS104" s="319">
        <f t="shared" si="53"/>
        <v>0</v>
      </c>
      <c r="BT104" s="319">
        <f t="shared" si="53"/>
        <v>0</v>
      </c>
      <c r="BU104" s="319">
        <f t="shared" si="53"/>
        <v>0</v>
      </c>
      <c r="BV104" s="319">
        <f t="shared" si="53"/>
        <v>0</v>
      </c>
      <c r="BW104" s="319">
        <f t="shared" si="53"/>
        <v>0</v>
      </c>
      <c r="BX104" s="319">
        <f>BX98+BX99+BX100+BX101+BX102+BX103</f>
        <v>719143.84904700797</v>
      </c>
    </row>
    <row r="105" spans="3:76">
      <c r="C105" s="308"/>
      <c r="D105" s="320"/>
      <c r="E105" s="321">
        <f>E104</f>
        <v>0</v>
      </c>
      <c r="F105" s="321">
        <f t="shared" ref="F105:BX105" si="54">E105+F104</f>
        <v>0</v>
      </c>
      <c r="G105" s="321">
        <f t="shared" si="54"/>
        <v>0</v>
      </c>
      <c r="H105" s="321">
        <f t="shared" si="54"/>
        <v>0</v>
      </c>
      <c r="I105" s="321">
        <f t="shared" si="54"/>
        <v>-87324</v>
      </c>
      <c r="J105" s="321">
        <f t="shared" si="54"/>
        <v>-187324</v>
      </c>
      <c r="K105" s="321">
        <f t="shared" si="54"/>
        <v>3212676</v>
      </c>
      <c r="L105" s="321">
        <f t="shared" si="54"/>
        <v>-1811824</v>
      </c>
      <c r="M105" s="321">
        <f t="shared" si="54"/>
        <v>-1812824</v>
      </c>
      <c r="N105" s="321">
        <f t="shared" si="54"/>
        <v>-1892824</v>
      </c>
      <c r="O105" s="321">
        <f t="shared" si="54"/>
        <v>-1923824</v>
      </c>
      <c r="P105" s="321">
        <f t="shared" si="54"/>
        <v>-1923824</v>
      </c>
      <c r="Q105" s="321">
        <f t="shared" si="54"/>
        <v>108313</v>
      </c>
      <c r="R105" s="321">
        <f t="shared" si="54"/>
        <v>108313</v>
      </c>
      <c r="S105" s="321">
        <f t="shared" si="54"/>
        <v>108313</v>
      </c>
      <c r="T105" s="321">
        <f t="shared" si="54"/>
        <v>108313</v>
      </c>
      <c r="U105" s="321">
        <f t="shared" si="54"/>
        <v>-94687</v>
      </c>
      <c r="V105" s="321">
        <f t="shared" si="54"/>
        <v>-1194687</v>
      </c>
      <c r="W105" s="321">
        <f t="shared" si="54"/>
        <v>-5410993</v>
      </c>
      <c r="X105" s="321">
        <f t="shared" si="54"/>
        <v>-5460993</v>
      </c>
      <c r="Y105" s="321">
        <f t="shared" si="54"/>
        <v>-5660993</v>
      </c>
      <c r="Z105" s="321">
        <f t="shared" si="54"/>
        <v>-7360993</v>
      </c>
      <c r="AA105" s="321">
        <f t="shared" si="54"/>
        <v>-8910993</v>
      </c>
      <c r="AB105" s="321">
        <f t="shared" si="54"/>
        <v>-10560993</v>
      </c>
      <c r="AC105" s="321">
        <f t="shared" si="54"/>
        <v>-10560993</v>
      </c>
      <c r="AD105" s="321">
        <f t="shared" si="54"/>
        <v>-10560993</v>
      </c>
      <c r="AE105" s="321">
        <f t="shared" si="54"/>
        <v>-10560993</v>
      </c>
      <c r="AF105" s="321">
        <f t="shared" si="54"/>
        <v>-10560993</v>
      </c>
      <c r="AG105" s="321">
        <f t="shared" si="54"/>
        <v>-10560993</v>
      </c>
      <c r="AH105" s="321">
        <f t="shared" si="54"/>
        <v>-10560993</v>
      </c>
      <c r="AI105" s="321">
        <f t="shared" si="54"/>
        <v>-10560993</v>
      </c>
      <c r="AJ105" s="321">
        <f t="shared" si="54"/>
        <v>1373734.8705816716</v>
      </c>
      <c r="AK105" s="321">
        <f t="shared" si="54"/>
        <v>1373734.8705816716</v>
      </c>
      <c r="AL105" s="321">
        <f t="shared" si="54"/>
        <v>1373734.8705816716</v>
      </c>
      <c r="AM105" s="321">
        <f t="shared" si="54"/>
        <v>1373734.8705816716</v>
      </c>
      <c r="AN105" s="321">
        <f t="shared" si="54"/>
        <v>1373734.8705816716</v>
      </c>
      <c r="AO105" s="321">
        <f t="shared" si="54"/>
        <v>1373734.8705816716</v>
      </c>
      <c r="AP105" s="321">
        <f t="shared" si="54"/>
        <v>1373734.8705816716</v>
      </c>
      <c r="AQ105" s="321">
        <f t="shared" si="54"/>
        <v>1373734.8705816716</v>
      </c>
      <c r="AR105" s="321">
        <f t="shared" si="54"/>
        <v>1373734.8705816716</v>
      </c>
      <c r="AS105" s="321">
        <f t="shared" si="54"/>
        <v>1373734.8705816716</v>
      </c>
      <c r="AT105" s="321">
        <f t="shared" si="54"/>
        <v>1373734.8705816716</v>
      </c>
      <c r="AU105" s="321">
        <f t="shared" si="54"/>
        <v>1373734.8705816716</v>
      </c>
      <c r="AV105" s="321">
        <f t="shared" si="54"/>
        <v>1373734.8705816716</v>
      </c>
      <c r="AW105" s="321">
        <f t="shared" si="54"/>
        <v>1373734.8705816716</v>
      </c>
      <c r="AX105" s="321">
        <f t="shared" si="54"/>
        <v>1373734.8705816716</v>
      </c>
      <c r="AY105" s="321">
        <f t="shared" si="54"/>
        <v>1373734.8705816716</v>
      </c>
      <c r="AZ105" s="321">
        <f t="shared" si="54"/>
        <v>1373734.8705816716</v>
      </c>
      <c r="BA105" s="321">
        <f t="shared" si="54"/>
        <v>1373734.8705816716</v>
      </c>
      <c r="BB105" s="321">
        <f t="shared" si="54"/>
        <v>1373734.8705816716</v>
      </c>
      <c r="BC105" s="321">
        <f t="shared" si="54"/>
        <v>1373734.8705816716</v>
      </c>
      <c r="BD105" s="321">
        <f t="shared" si="54"/>
        <v>1373734.8705816716</v>
      </c>
      <c r="BE105" s="321">
        <f t="shared" si="54"/>
        <v>1373734.8705816716</v>
      </c>
      <c r="BF105" s="321">
        <f t="shared" si="54"/>
        <v>1373734.8705816716</v>
      </c>
      <c r="BG105" s="321">
        <f t="shared" si="54"/>
        <v>1373734.8705816716</v>
      </c>
      <c r="BH105" s="321">
        <f t="shared" si="54"/>
        <v>1373734.8705816716</v>
      </c>
      <c r="BI105" s="321">
        <f t="shared" si="54"/>
        <v>1373734.8705816716</v>
      </c>
      <c r="BJ105" s="321">
        <f t="shared" si="54"/>
        <v>1373734.8705816716</v>
      </c>
      <c r="BK105" s="321">
        <f t="shared" si="54"/>
        <v>1373734.8705816716</v>
      </c>
      <c r="BL105" s="321">
        <f t="shared" si="54"/>
        <v>1373734.8705816716</v>
      </c>
      <c r="BM105" s="321">
        <f t="shared" si="54"/>
        <v>1373734.8705816716</v>
      </c>
      <c r="BN105" s="321">
        <f t="shared" si="54"/>
        <v>1373734.8705816716</v>
      </c>
      <c r="BO105" s="321">
        <f t="shared" si="54"/>
        <v>1373734.8705816716</v>
      </c>
      <c r="BP105" s="321">
        <f t="shared" si="54"/>
        <v>1373734.8705816716</v>
      </c>
      <c r="BQ105" s="321">
        <f t="shared" si="54"/>
        <v>1373734.8705816716</v>
      </c>
      <c r="BR105" s="321">
        <f t="shared" si="54"/>
        <v>1373734.8705816716</v>
      </c>
      <c r="BS105" s="321">
        <f t="shared" si="54"/>
        <v>1373734.8705816716</v>
      </c>
      <c r="BT105" s="321">
        <f t="shared" si="54"/>
        <v>1373734.8705816716</v>
      </c>
      <c r="BU105" s="321">
        <f t="shared" si="54"/>
        <v>1373734.8705816716</v>
      </c>
      <c r="BV105" s="321">
        <f t="shared" si="54"/>
        <v>1373734.8705816716</v>
      </c>
      <c r="BW105" s="321">
        <f t="shared" si="54"/>
        <v>1373734.8705816716</v>
      </c>
      <c r="BX105" s="321">
        <f t="shared" si="54"/>
        <v>2092878.7196286796</v>
      </c>
    </row>
    <row r="106" spans="3:76">
      <c r="C106" s="311" t="s">
        <v>261</v>
      </c>
      <c r="D106" s="322">
        <f>IRR(I104:AJ104)*12</f>
        <v>7.684274284970833</v>
      </c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29"/>
      <c r="AC106" s="229"/>
      <c r="AD106" s="229"/>
      <c r="AE106" s="229"/>
      <c r="AF106" s="229"/>
      <c r="AG106" s="229"/>
      <c r="AH106" s="229"/>
      <c r="AI106" s="229"/>
      <c r="AJ106" s="229"/>
      <c r="AK106" s="229"/>
      <c r="AL106" s="229"/>
      <c r="AM106" s="229"/>
      <c r="AN106" s="229"/>
      <c r="AO106" s="229"/>
      <c r="AP106" s="229"/>
      <c r="AQ106" s="229"/>
      <c r="AR106" s="229"/>
      <c r="AS106" s="229"/>
      <c r="AT106" s="229"/>
      <c r="AU106" s="229"/>
      <c r="AV106" s="229"/>
      <c r="AW106" s="229"/>
      <c r="AX106" s="229"/>
      <c r="AY106" s="229"/>
      <c r="AZ106" s="229"/>
      <c r="BA106" s="229"/>
      <c r="BB106" s="229"/>
      <c r="BC106" s="229"/>
      <c r="BD106" s="229"/>
      <c r="BE106" s="229"/>
      <c r="BF106" s="229"/>
      <c r="BG106" s="229"/>
      <c r="BH106" s="229"/>
      <c r="BI106" s="229"/>
      <c r="BJ106" s="229"/>
      <c r="BK106" s="229"/>
      <c r="BL106" s="229"/>
      <c r="BM106" s="229"/>
      <c r="BN106" s="229"/>
      <c r="BO106" s="229"/>
      <c r="BP106" s="229"/>
      <c r="BQ106" s="229"/>
      <c r="BR106" s="229"/>
      <c r="BS106" s="229"/>
      <c r="BT106" s="229"/>
      <c r="BU106" s="229"/>
      <c r="BV106" s="229"/>
      <c r="BW106" s="229"/>
      <c r="BX106" s="229"/>
    </row>
    <row r="107" spans="3:76">
      <c r="C107" s="323" t="s">
        <v>269</v>
      </c>
      <c r="D107" s="324">
        <f>-MIN(E105:BL105)</f>
        <v>10560993</v>
      </c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29"/>
      <c r="AC107" s="229"/>
      <c r="AD107" s="229"/>
      <c r="AE107" s="229"/>
      <c r="AF107" s="229"/>
      <c r="AG107" s="229"/>
      <c r="AH107" s="229"/>
      <c r="AI107" s="229"/>
      <c r="AJ107" s="229"/>
      <c r="AK107" s="229"/>
      <c r="AL107" s="229"/>
      <c r="AM107" s="229"/>
      <c r="AN107" s="229"/>
      <c r="AO107" s="229"/>
      <c r="AP107" s="229"/>
      <c r="AQ107" s="229"/>
      <c r="AR107" s="229"/>
      <c r="AS107" s="229"/>
      <c r="AT107" s="229"/>
      <c r="AU107" s="229"/>
      <c r="AV107" s="229"/>
      <c r="AW107" s="229"/>
      <c r="AX107" s="229"/>
      <c r="AY107" s="229"/>
      <c r="AZ107" s="229"/>
      <c r="BA107" s="229"/>
      <c r="BB107" s="229"/>
      <c r="BC107" s="229"/>
      <c r="BD107" s="229"/>
      <c r="BE107" s="229"/>
      <c r="BF107" s="229"/>
      <c r="BG107" s="229"/>
      <c r="BH107" s="229"/>
      <c r="BI107" s="229"/>
      <c r="BJ107" s="229"/>
      <c r="BK107" s="229"/>
      <c r="BL107" s="229"/>
      <c r="BM107" s="229"/>
      <c r="BN107" s="229"/>
      <c r="BO107" s="229"/>
      <c r="BP107" s="229"/>
      <c r="BQ107" s="229"/>
      <c r="BR107" s="229"/>
      <c r="BS107" s="229"/>
      <c r="BT107" s="229"/>
      <c r="BU107" s="229"/>
      <c r="BV107" s="229"/>
      <c r="BW107" s="229"/>
      <c r="BX107" s="229"/>
    </row>
    <row r="108" spans="3:76">
      <c r="C108" s="311" t="s">
        <v>270</v>
      </c>
      <c r="D108" s="325">
        <f>D107</f>
        <v>10560993</v>
      </c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29"/>
      <c r="AC108" s="229"/>
      <c r="AD108" s="229"/>
      <c r="AE108" s="229"/>
      <c r="AF108" s="229"/>
      <c r="AG108" s="229"/>
      <c r="AH108" s="229"/>
      <c r="AI108" s="229"/>
      <c r="AJ108" s="229"/>
      <c r="AK108" s="229"/>
      <c r="AL108" s="229"/>
      <c r="AM108" s="229"/>
      <c r="AN108" s="229"/>
      <c r="AO108" s="229"/>
      <c r="AP108" s="229"/>
      <c r="AQ108" s="229"/>
      <c r="AR108" s="229"/>
      <c r="AS108" s="229"/>
      <c r="AT108" s="229"/>
      <c r="AU108" s="229"/>
      <c r="AV108" s="229"/>
      <c r="AW108" s="229"/>
      <c r="AX108" s="229"/>
      <c r="AY108" s="229"/>
      <c r="AZ108" s="229"/>
      <c r="BA108" s="229"/>
      <c r="BB108" s="229"/>
      <c r="BC108" s="229"/>
      <c r="BD108" s="229"/>
      <c r="BE108" s="229"/>
      <c r="BF108" s="229"/>
      <c r="BG108" s="229"/>
      <c r="BH108" s="229"/>
      <c r="BI108" s="229"/>
      <c r="BJ108" s="229"/>
      <c r="BK108" s="229"/>
      <c r="BL108" s="229"/>
      <c r="BM108" s="229"/>
      <c r="BN108" s="229"/>
      <c r="BO108" s="229"/>
      <c r="BP108" s="229"/>
      <c r="BQ108" s="229"/>
      <c r="BR108" s="229"/>
      <c r="BS108" s="229"/>
      <c r="BT108" s="229"/>
      <c r="BU108" s="229"/>
      <c r="BV108" s="229"/>
      <c r="BW108" s="229"/>
      <c r="BX108" s="229"/>
    </row>
    <row r="109" spans="3:76">
      <c r="C109" s="311" t="s">
        <v>271</v>
      </c>
      <c r="D109" s="325">
        <f>AJ101+AJ100</f>
        <v>1260421.8705816714</v>
      </c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29"/>
      <c r="AC109" s="229"/>
      <c r="AD109" s="229"/>
      <c r="AE109" s="229"/>
      <c r="AF109" s="229"/>
      <c r="AG109" s="229"/>
      <c r="AH109" s="229"/>
      <c r="AI109" s="229"/>
      <c r="AJ109" s="229"/>
      <c r="AK109" s="229"/>
      <c r="AL109" s="229"/>
      <c r="AM109" s="229"/>
      <c r="AN109" s="229"/>
      <c r="AO109" s="229"/>
      <c r="AP109" s="229"/>
      <c r="AQ109" s="229"/>
      <c r="AR109" s="229"/>
      <c r="AS109" s="229"/>
      <c r="AT109" s="229"/>
      <c r="AU109" s="229"/>
      <c r="AV109" s="229"/>
      <c r="AW109" s="229"/>
      <c r="AX109" s="229"/>
      <c r="AY109" s="229"/>
      <c r="AZ109" s="229"/>
      <c r="BA109" s="229"/>
      <c r="BB109" s="229"/>
      <c r="BC109" s="229"/>
      <c r="BD109" s="229"/>
      <c r="BE109" s="229"/>
      <c r="BF109" s="229"/>
      <c r="BG109" s="229"/>
      <c r="BH109" s="229"/>
      <c r="BI109" s="229"/>
      <c r="BJ109" s="229"/>
      <c r="BK109" s="229"/>
      <c r="BL109" s="229"/>
      <c r="BM109" s="229"/>
      <c r="BN109" s="229"/>
      <c r="BO109" s="229"/>
      <c r="BP109" s="229"/>
      <c r="BQ109" s="229"/>
      <c r="BR109" s="229"/>
      <c r="BS109" s="229"/>
      <c r="BT109" s="229"/>
      <c r="BU109" s="229"/>
      <c r="BV109" s="229"/>
      <c r="BW109" s="229"/>
      <c r="BX109" s="229"/>
    </row>
    <row r="110" spans="3:76">
      <c r="C110" s="311" t="s">
        <v>272</v>
      </c>
      <c r="D110" s="322">
        <f>D109/D108</f>
        <v>0.11934690900577923</v>
      </c>
      <c r="E110" s="229"/>
      <c r="F110" s="229"/>
      <c r="G110" s="229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29"/>
      <c r="Y110" s="229"/>
      <c r="Z110" s="229"/>
      <c r="AA110" s="229"/>
      <c r="AB110" s="229"/>
      <c r="AC110" s="229"/>
      <c r="AD110" s="229"/>
      <c r="AE110" s="229"/>
      <c r="AF110" s="229"/>
      <c r="AG110" s="229"/>
      <c r="AH110" s="229"/>
      <c r="AI110" s="229"/>
      <c r="AJ110" s="229"/>
      <c r="AK110" s="229"/>
      <c r="AL110" s="229"/>
      <c r="AM110" s="229"/>
      <c r="AN110" s="229"/>
      <c r="AO110" s="229"/>
      <c r="AP110" s="229"/>
      <c r="AQ110" s="229"/>
      <c r="AR110" s="229"/>
      <c r="AS110" s="229"/>
      <c r="AT110" s="229"/>
      <c r="AU110" s="229"/>
      <c r="AV110" s="229"/>
      <c r="AW110" s="229"/>
      <c r="AX110" s="229"/>
      <c r="AY110" s="229"/>
      <c r="AZ110" s="229"/>
      <c r="BA110" s="229"/>
      <c r="BB110" s="229"/>
      <c r="BC110" s="229"/>
      <c r="BD110" s="229"/>
      <c r="BE110" s="229"/>
      <c r="BF110" s="229"/>
      <c r="BG110" s="229"/>
      <c r="BH110" s="229"/>
      <c r="BI110" s="229"/>
      <c r="BJ110" s="229"/>
      <c r="BK110" s="229"/>
      <c r="BL110" s="229"/>
      <c r="BM110" s="229"/>
      <c r="BN110" s="229"/>
      <c r="BO110" s="229"/>
      <c r="BP110" s="229"/>
      <c r="BQ110" s="229"/>
      <c r="BR110" s="229"/>
      <c r="BS110" s="229"/>
      <c r="BT110" s="229"/>
      <c r="BU110" s="229"/>
      <c r="BV110" s="229"/>
      <c r="BW110" s="229"/>
      <c r="BX110" s="229"/>
    </row>
    <row r="114" spans="3:76">
      <c r="C114" s="308" t="s">
        <v>273</v>
      </c>
      <c r="D114" s="309"/>
      <c r="E114" s="309">
        <f t="shared" ref="E114:BX114" si="55">-(E6+E76)</f>
        <v>0</v>
      </c>
      <c r="F114" s="309">
        <f t="shared" si="55"/>
        <v>0</v>
      </c>
      <c r="G114" s="309">
        <f t="shared" si="55"/>
        <v>0</v>
      </c>
      <c r="H114" s="309">
        <f t="shared" si="55"/>
        <v>0</v>
      </c>
      <c r="I114" s="309">
        <f t="shared" si="55"/>
        <v>0</v>
      </c>
      <c r="J114" s="309">
        <f t="shared" si="55"/>
        <v>0</v>
      </c>
      <c r="K114" s="309">
        <f t="shared" si="55"/>
        <v>0</v>
      </c>
      <c r="L114" s="309">
        <f t="shared" si="55"/>
        <v>0</v>
      </c>
      <c r="M114" s="309">
        <f t="shared" si="55"/>
        <v>0</v>
      </c>
      <c r="N114" s="309">
        <f t="shared" si="55"/>
        <v>0</v>
      </c>
      <c r="O114" s="309">
        <f t="shared" si="55"/>
        <v>0</v>
      </c>
      <c r="P114" s="309">
        <f t="shared" si="55"/>
        <v>-3994008</v>
      </c>
      <c r="Q114" s="309">
        <f t="shared" si="55"/>
        <v>0</v>
      </c>
      <c r="R114" s="309">
        <f t="shared" si="55"/>
        <v>0</v>
      </c>
      <c r="S114" s="309">
        <f t="shared" si="55"/>
        <v>0</v>
      </c>
      <c r="T114" s="309">
        <f t="shared" si="55"/>
        <v>-500000</v>
      </c>
      <c r="U114" s="309">
        <f t="shared" si="55"/>
        <v>0</v>
      </c>
      <c r="V114" s="309">
        <f t="shared" si="55"/>
        <v>0</v>
      </c>
      <c r="W114" s="309">
        <f t="shared" si="55"/>
        <v>-19083694</v>
      </c>
      <c r="X114" s="309">
        <f t="shared" si="55"/>
        <v>0</v>
      </c>
      <c r="Y114" s="309">
        <f t="shared" si="55"/>
        <v>-600000</v>
      </c>
      <c r="Z114" s="309">
        <f t="shared" si="55"/>
        <v>-5760000</v>
      </c>
      <c r="AA114" s="309">
        <f t="shared" si="55"/>
        <v>-6200000</v>
      </c>
      <c r="AB114" s="309">
        <f t="shared" si="55"/>
        <v>-6100000</v>
      </c>
      <c r="AC114" s="309">
        <f t="shared" si="55"/>
        <v>0</v>
      </c>
      <c r="AD114" s="309">
        <f t="shared" si="55"/>
        <v>0</v>
      </c>
      <c r="AE114" s="309">
        <f t="shared" si="55"/>
        <v>0</v>
      </c>
      <c r="AF114" s="309">
        <f t="shared" si="55"/>
        <v>0</v>
      </c>
      <c r="AG114" s="309">
        <f t="shared" si="55"/>
        <v>0</v>
      </c>
      <c r="AH114" s="309">
        <f t="shared" si="55"/>
        <v>0</v>
      </c>
      <c r="AI114" s="309">
        <f t="shared" si="55"/>
        <v>0</v>
      </c>
      <c r="AJ114" s="309">
        <f t="shared" si="55"/>
        <v>42237702</v>
      </c>
      <c r="AK114" s="309">
        <f t="shared" si="55"/>
        <v>0</v>
      </c>
      <c r="AL114" s="309">
        <f t="shared" si="55"/>
        <v>0</v>
      </c>
      <c r="AM114" s="309">
        <f t="shared" si="55"/>
        <v>0</v>
      </c>
      <c r="AN114" s="309">
        <f t="shared" si="55"/>
        <v>0</v>
      </c>
      <c r="AO114" s="309">
        <f t="shared" si="55"/>
        <v>0</v>
      </c>
      <c r="AP114" s="309">
        <f t="shared" si="55"/>
        <v>0</v>
      </c>
      <c r="AQ114" s="309">
        <f t="shared" si="55"/>
        <v>0</v>
      </c>
      <c r="AR114" s="309">
        <f t="shared" si="55"/>
        <v>0</v>
      </c>
      <c r="AS114" s="309">
        <f t="shared" si="55"/>
        <v>0</v>
      </c>
      <c r="AT114" s="309">
        <f t="shared" si="55"/>
        <v>0</v>
      </c>
      <c r="AU114" s="309">
        <f t="shared" si="55"/>
        <v>0</v>
      </c>
      <c r="AV114" s="309">
        <f t="shared" si="55"/>
        <v>0</v>
      </c>
      <c r="AW114" s="309">
        <f t="shared" si="55"/>
        <v>0</v>
      </c>
      <c r="AX114" s="309">
        <f t="shared" si="55"/>
        <v>0</v>
      </c>
      <c r="AY114" s="309">
        <f t="shared" si="55"/>
        <v>0</v>
      </c>
      <c r="AZ114" s="309">
        <f t="shared" si="55"/>
        <v>0</v>
      </c>
      <c r="BA114" s="309">
        <f t="shared" si="55"/>
        <v>0</v>
      </c>
      <c r="BB114" s="309">
        <f t="shared" si="55"/>
        <v>0</v>
      </c>
      <c r="BC114" s="309">
        <f t="shared" si="55"/>
        <v>0</v>
      </c>
      <c r="BD114" s="309">
        <f t="shared" si="55"/>
        <v>0</v>
      </c>
      <c r="BE114" s="309">
        <f t="shared" si="55"/>
        <v>0</v>
      </c>
      <c r="BF114" s="309">
        <f t="shared" si="55"/>
        <v>0</v>
      </c>
      <c r="BG114" s="309">
        <f t="shared" si="55"/>
        <v>0</v>
      </c>
      <c r="BH114" s="309">
        <f t="shared" si="55"/>
        <v>0</v>
      </c>
      <c r="BI114" s="309">
        <f t="shared" si="55"/>
        <v>0</v>
      </c>
      <c r="BJ114" s="309">
        <f t="shared" si="55"/>
        <v>0</v>
      </c>
      <c r="BK114" s="309">
        <f t="shared" si="55"/>
        <v>0</v>
      </c>
      <c r="BL114" s="309">
        <f t="shared" si="55"/>
        <v>0</v>
      </c>
      <c r="BM114" s="309">
        <f t="shared" si="55"/>
        <v>0</v>
      </c>
      <c r="BN114" s="309">
        <f t="shared" si="55"/>
        <v>0</v>
      </c>
      <c r="BO114" s="309">
        <f t="shared" si="55"/>
        <v>0</v>
      </c>
      <c r="BP114" s="309">
        <f t="shared" si="55"/>
        <v>0</v>
      </c>
      <c r="BQ114" s="309">
        <f t="shared" si="55"/>
        <v>0</v>
      </c>
      <c r="BR114" s="309">
        <f t="shared" si="55"/>
        <v>0</v>
      </c>
      <c r="BS114" s="309">
        <f t="shared" si="55"/>
        <v>0</v>
      </c>
      <c r="BT114" s="309">
        <f t="shared" si="55"/>
        <v>0</v>
      </c>
      <c r="BU114" s="309">
        <f t="shared" si="55"/>
        <v>0</v>
      </c>
      <c r="BV114" s="309">
        <f t="shared" si="55"/>
        <v>0</v>
      </c>
      <c r="BW114" s="309">
        <f t="shared" si="55"/>
        <v>0</v>
      </c>
      <c r="BX114" s="309">
        <f t="shared" si="55"/>
        <v>0</v>
      </c>
    </row>
    <row r="115" spans="3:76" outlineLevel="1">
      <c r="C115" s="308" t="s">
        <v>274</v>
      </c>
      <c r="D115" s="317"/>
      <c r="E115" s="309"/>
      <c r="F115" s="309"/>
      <c r="G115" s="309"/>
      <c r="H115" s="309"/>
      <c r="I115" s="309"/>
      <c r="J115" s="309"/>
      <c r="K115" s="309"/>
      <c r="L115" s="309"/>
      <c r="M115" s="309"/>
      <c r="N115" s="309"/>
      <c r="O115" s="309"/>
      <c r="P115" s="309"/>
      <c r="Q115" s="309"/>
      <c r="R115" s="309"/>
      <c r="S115" s="309"/>
      <c r="T115" s="309"/>
      <c r="U115" s="309"/>
      <c r="V115" s="309"/>
      <c r="W115" s="309"/>
      <c r="X115" s="309"/>
      <c r="Y115" s="309"/>
      <c r="Z115" s="309"/>
      <c r="AA115" s="309"/>
      <c r="AB115" s="309"/>
      <c r="AC115" s="309"/>
      <c r="AD115" s="309"/>
      <c r="AE115" s="309"/>
      <c r="AF115" s="309"/>
      <c r="AG115" s="309"/>
      <c r="AH115" s="309"/>
      <c r="AI115" s="309"/>
      <c r="AJ115" s="309"/>
      <c r="AK115" s="309"/>
      <c r="AL115" s="309"/>
      <c r="AM115" s="309"/>
      <c r="AN115" s="309"/>
      <c r="AO115" s="309"/>
      <c r="AP115" s="309"/>
      <c r="AQ115" s="309"/>
      <c r="AR115" s="309"/>
      <c r="AS115" s="309"/>
      <c r="AT115" s="309"/>
      <c r="AU115" s="309"/>
      <c r="AV115" s="309"/>
      <c r="AW115" s="309"/>
      <c r="AX115" s="309"/>
      <c r="AY115" s="309"/>
      <c r="AZ115" s="309"/>
      <c r="BA115" s="309"/>
      <c r="BB115" s="309"/>
      <c r="BC115" s="309"/>
      <c r="BD115" s="309"/>
      <c r="BE115" s="309"/>
      <c r="BF115" s="309"/>
      <c r="BG115" s="309"/>
      <c r="BH115" s="309"/>
      <c r="BI115" s="309"/>
      <c r="BJ115" s="309"/>
      <c r="BK115" s="309"/>
      <c r="BL115" s="309"/>
      <c r="BM115" s="309"/>
      <c r="BN115" s="309"/>
      <c r="BO115" s="309"/>
      <c r="BP115" s="309"/>
      <c r="BQ115" s="309"/>
      <c r="BR115" s="309"/>
      <c r="BS115" s="309"/>
      <c r="BT115" s="309"/>
      <c r="BU115" s="309"/>
      <c r="BV115" s="309"/>
      <c r="BW115" s="309"/>
      <c r="BX115" s="309"/>
    </row>
    <row r="116" spans="3:76" outlineLevel="1">
      <c r="C116" s="308" t="s">
        <v>265</v>
      </c>
      <c r="D116" s="317"/>
      <c r="E116" s="309">
        <f t="shared" ref="E116:BX116" si="56">-E57</f>
        <v>0</v>
      </c>
      <c r="F116" s="309">
        <f t="shared" si="56"/>
        <v>0</v>
      </c>
      <c r="G116" s="309">
        <f t="shared" si="56"/>
        <v>0</v>
      </c>
      <c r="H116" s="309">
        <f t="shared" si="56"/>
        <v>0</v>
      </c>
      <c r="I116" s="309">
        <f t="shared" si="56"/>
        <v>0</v>
      </c>
      <c r="J116" s="309">
        <f t="shared" si="56"/>
        <v>0</v>
      </c>
      <c r="K116" s="309">
        <f t="shared" si="56"/>
        <v>0</v>
      </c>
      <c r="L116" s="309">
        <f t="shared" si="56"/>
        <v>0</v>
      </c>
      <c r="M116" s="309">
        <f t="shared" si="56"/>
        <v>0</v>
      </c>
      <c r="N116" s="309">
        <f t="shared" si="56"/>
        <v>0</v>
      </c>
      <c r="O116" s="309">
        <f t="shared" si="56"/>
        <v>0</v>
      </c>
      <c r="P116" s="309">
        <f t="shared" si="56"/>
        <v>0</v>
      </c>
      <c r="Q116" s="309">
        <f t="shared" si="56"/>
        <v>0</v>
      </c>
      <c r="R116" s="309">
        <f t="shared" si="56"/>
        <v>0</v>
      </c>
      <c r="S116" s="309">
        <f t="shared" si="56"/>
        <v>0</v>
      </c>
      <c r="T116" s="309">
        <f t="shared" si="56"/>
        <v>0</v>
      </c>
      <c r="U116" s="309">
        <f t="shared" si="56"/>
        <v>0</v>
      </c>
      <c r="V116" s="309">
        <f t="shared" si="56"/>
        <v>0</v>
      </c>
      <c r="W116" s="309">
        <f t="shared" si="56"/>
        <v>0</v>
      </c>
      <c r="X116" s="309">
        <f t="shared" si="56"/>
        <v>0</v>
      </c>
      <c r="Y116" s="309">
        <f t="shared" si="56"/>
        <v>0</v>
      </c>
      <c r="Z116" s="309">
        <f t="shared" si="56"/>
        <v>0</v>
      </c>
      <c r="AA116" s="309">
        <f t="shared" si="56"/>
        <v>0</v>
      </c>
      <c r="AB116" s="309">
        <f t="shared" si="56"/>
        <v>0</v>
      </c>
      <c r="AC116" s="309">
        <f t="shared" si="56"/>
        <v>0</v>
      </c>
      <c r="AD116" s="309">
        <f t="shared" si="56"/>
        <v>0</v>
      </c>
      <c r="AE116" s="309">
        <f t="shared" si="56"/>
        <v>0</v>
      </c>
      <c r="AF116" s="309">
        <f t="shared" si="56"/>
        <v>0</v>
      </c>
      <c r="AG116" s="309">
        <f t="shared" si="56"/>
        <v>0</v>
      </c>
      <c r="AH116" s="309">
        <f t="shared" si="56"/>
        <v>0</v>
      </c>
      <c r="AI116" s="309">
        <f t="shared" si="56"/>
        <v>0</v>
      </c>
      <c r="AJ116" s="309">
        <f t="shared" si="56"/>
        <v>3365818.2800000012</v>
      </c>
      <c r="AK116" s="309">
        <f t="shared" si="56"/>
        <v>0</v>
      </c>
      <c r="AL116" s="309">
        <f t="shared" si="56"/>
        <v>0</v>
      </c>
      <c r="AM116" s="309">
        <f t="shared" si="56"/>
        <v>0</v>
      </c>
      <c r="AN116" s="309">
        <f t="shared" si="56"/>
        <v>0</v>
      </c>
      <c r="AO116" s="309">
        <f t="shared" si="56"/>
        <v>0</v>
      </c>
      <c r="AP116" s="309">
        <f t="shared" si="56"/>
        <v>0</v>
      </c>
      <c r="AQ116" s="309">
        <f t="shared" si="56"/>
        <v>0</v>
      </c>
      <c r="AR116" s="309">
        <f t="shared" si="56"/>
        <v>0</v>
      </c>
      <c r="AS116" s="309">
        <f t="shared" si="56"/>
        <v>0</v>
      </c>
      <c r="AT116" s="309">
        <f t="shared" si="56"/>
        <v>0</v>
      </c>
      <c r="AU116" s="309">
        <f t="shared" si="56"/>
        <v>0</v>
      </c>
      <c r="AV116" s="309">
        <f t="shared" si="56"/>
        <v>0</v>
      </c>
      <c r="AW116" s="309">
        <f t="shared" si="56"/>
        <v>0</v>
      </c>
      <c r="AX116" s="309">
        <f t="shared" si="56"/>
        <v>0</v>
      </c>
      <c r="AY116" s="309">
        <f t="shared" si="56"/>
        <v>0</v>
      </c>
      <c r="AZ116" s="309">
        <f t="shared" si="56"/>
        <v>0</v>
      </c>
      <c r="BA116" s="309">
        <f t="shared" si="56"/>
        <v>0</v>
      </c>
      <c r="BB116" s="309">
        <f t="shared" si="56"/>
        <v>0</v>
      </c>
      <c r="BC116" s="309">
        <f t="shared" si="56"/>
        <v>0</v>
      </c>
      <c r="BD116" s="309">
        <f t="shared" si="56"/>
        <v>0</v>
      </c>
      <c r="BE116" s="309">
        <f t="shared" si="56"/>
        <v>0</v>
      </c>
      <c r="BF116" s="309">
        <f t="shared" si="56"/>
        <v>0</v>
      </c>
      <c r="BG116" s="309">
        <f t="shared" si="56"/>
        <v>0</v>
      </c>
      <c r="BH116" s="309">
        <f t="shared" si="56"/>
        <v>0</v>
      </c>
      <c r="BI116" s="309">
        <f t="shared" si="56"/>
        <v>0</v>
      </c>
      <c r="BJ116" s="309">
        <f t="shared" si="56"/>
        <v>0</v>
      </c>
      <c r="BK116" s="309">
        <f t="shared" si="56"/>
        <v>0</v>
      </c>
      <c r="BL116" s="309">
        <f t="shared" si="56"/>
        <v>0</v>
      </c>
      <c r="BM116" s="309">
        <f t="shared" si="56"/>
        <v>0</v>
      </c>
      <c r="BN116" s="309">
        <f t="shared" si="56"/>
        <v>0</v>
      </c>
      <c r="BO116" s="309">
        <f t="shared" si="56"/>
        <v>0</v>
      </c>
      <c r="BP116" s="309">
        <f t="shared" si="56"/>
        <v>0</v>
      </c>
      <c r="BQ116" s="309">
        <f t="shared" si="56"/>
        <v>0</v>
      </c>
      <c r="BR116" s="309">
        <f t="shared" si="56"/>
        <v>0</v>
      </c>
      <c r="BS116" s="309">
        <f t="shared" si="56"/>
        <v>0</v>
      </c>
      <c r="BT116" s="309">
        <f t="shared" si="56"/>
        <v>0</v>
      </c>
      <c r="BU116" s="309">
        <f t="shared" si="56"/>
        <v>0</v>
      </c>
      <c r="BV116" s="309">
        <f t="shared" si="56"/>
        <v>0</v>
      </c>
      <c r="BW116" s="309">
        <f t="shared" si="56"/>
        <v>0</v>
      </c>
      <c r="BX116" s="309">
        <f t="shared" si="56"/>
        <v>0</v>
      </c>
    </row>
    <row r="117" spans="3:76" outlineLevel="1">
      <c r="C117" s="308" t="s">
        <v>266</v>
      </c>
      <c r="D117" s="317"/>
      <c r="E117" s="309"/>
      <c r="F117" s="309"/>
      <c r="G117" s="309"/>
      <c r="H117" s="309"/>
      <c r="I117" s="309"/>
      <c r="J117" s="309"/>
      <c r="K117" s="309"/>
      <c r="L117" s="309"/>
      <c r="M117" s="309"/>
      <c r="N117" s="309"/>
      <c r="O117" s="309"/>
      <c r="P117" s="309"/>
      <c r="Q117" s="309"/>
      <c r="R117" s="309"/>
      <c r="S117" s="309"/>
      <c r="T117" s="309"/>
      <c r="U117" s="309"/>
      <c r="V117" s="309"/>
      <c r="W117" s="309"/>
      <c r="X117" s="309"/>
      <c r="Y117" s="309"/>
      <c r="Z117" s="309"/>
      <c r="AA117" s="309"/>
      <c r="AB117" s="309"/>
      <c r="AC117" s="309"/>
      <c r="AD117" s="309"/>
      <c r="AE117" s="309"/>
      <c r="AF117" s="309"/>
      <c r="AG117" s="309"/>
      <c r="AH117" s="309"/>
      <c r="AI117" s="309"/>
      <c r="AJ117" s="309"/>
      <c r="AK117" s="309"/>
      <c r="AL117" s="309"/>
      <c r="AM117" s="309"/>
      <c r="AN117" s="309"/>
      <c r="AO117" s="309"/>
      <c r="AP117" s="309"/>
      <c r="AQ117" s="309"/>
      <c r="AR117" s="309"/>
      <c r="AS117" s="309"/>
      <c r="AT117" s="309"/>
      <c r="AU117" s="309"/>
      <c r="AV117" s="309"/>
      <c r="AW117" s="309"/>
      <c r="AX117" s="309"/>
      <c r="AY117" s="309"/>
      <c r="AZ117" s="309"/>
      <c r="BA117" s="309"/>
      <c r="BB117" s="309"/>
      <c r="BC117" s="309"/>
      <c r="BD117" s="309"/>
      <c r="BE117" s="309"/>
      <c r="BF117" s="309"/>
      <c r="BG117" s="309"/>
      <c r="BH117" s="309"/>
      <c r="BI117" s="309"/>
      <c r="BJ117" s="309"/>
      <c r="BK117" s="309"/>
      <c r="BL117" s="309"/>
      <c r="BM117" s="309"/>
      <c r="BN117" s="309"/>
      <c r="BO117" s="309"/>
      <c r="BP117" s="309"/>
      <c r="BQ117" s="309"/>
      <c r="BR117" s="309"/>
      <c r="BS117" s="309"/>
      <c r="BT117" s="309"/>
      <c r="BU117" s="309"/>
      <c r="BV117" s="309"/>
      <c r="BW117" s="309"/>
      <c r="BX117" s="309">
        <f>IF(D91&gt;0.25,(BX85-BX94)*D118,BX85*D118)</f>
        <v>1278477.9538613474</v>
      </c>
    </row>
    <row r="118" spans="3:76" outlineLevel="1">
      <c r="C118" s="311" t="s">
        <v>267</v>
      </c>
      <c r="D118" s="317">
        <f>1-D103</f>
        <v>0.8</v>
      </c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  <c r="Z118" s="250"/>
      <c r="AA118" s="250"/>
      <c r="AB118" s="250"/>
      <c r="AC118" s="250"/>
      <c r="AD118" s="250"/>
      <c r="AE118" s="250"/>
      <c r="AF118" s="250"/>
      <c r="AG118" s="250"/>
      <c r="AH118" s="250"/>
      <c r="AI118" s="250"/>
      <c r="AJ118" s="250">
        <f>AJ85*$D$118</f>
        <v>1598097.4423266845</v>
      </c>
      <c r="AK118" s="250"/>
      <c r="AL118" s="250"/>
      <c r="AM118" s="250"/>
      <c r="AN118" s="250"/>
      <c r="AO118" s="250"/>
      <c r="AP118" s="250"/>
      <c r="AQ118" s="250"/>
      <c r="AR118" s="250"/>
      <c r="AS118" s="250"/>
      <c r="AT118" s="250"/>
      <c r="AU118" s="250"/>
      <c r="AV118" s="250"/>
      <c r="AW118" s="250"/>
      <c r="AX118" s="250"/>
      <c r="AY118" s="250"/>
      <c r="AZ118" s="250"/>
      <c r="BA118" s="250"/>
      <c r="BB118" s="250"/>
      <c r="BC118" s="250"/>
      <c r="BD118" s="250"/>
      <c r="BE118" s="250"/>
      <c r="BF118" s="250"/>
      <c r="BG118" s="250"/>
      <c r="BH118" s="250"/>
      <c r="BI118" s="250"/>
      <c r="BJ118" s="250"/>
      <c r="BK118" s="250"/>
      <c r="BL118" s="250"/>
      <c r="BM118" s="250"/>
      <c r="BN118" s="250"/>
      <c r="BO118" s="250"/>
      <c r="BP118" s="250"/>
      <c r="BQ118" s="250"/>
      <c r="BR118" s="250"/>
      <c r="BS118" s="250"/>
      <c r="BT118" s="250"/>
      <c r="BU118" s="250"/>
      <c r="BV118" s="250"/>
      <c r="BW118" s="250"/>
      <c r="BX118" s="250"/>
    </row>
    <row r="119" spans="3:76" outlineLevel="1">
      <c r="C119" s="308" t="s">
        <v>268</v>
      </c>
      <c r="D119" s="309"/>
      <c r="E119" s="319">
        <f t="shared" ref="E119:BX119" si="57">E114+E115+E116+E117+E118</f>
        <v>0</v>
      </c>
      <c r="F119" s="319">
        <f t="shared" si="57"/>
        <v>0</v>
      </c>
      <c r="G119" s="319">
        <f t="shared" si="57"/>
        <v>0</v>
      </c>
      <c r="H119" s="319">
        <f t="shared" si="57"/>
        <v>0</v>
      </c>
      <c r="I119" s="319">
        <f t="shared" si="57"/>
        <v>0</v>
      </c>
      <c r="J119" s="319">
        <f t="shared" si="57"/>
        <v>0</v>
      </c>
      <c r="K119" s="319">
        <f t="shared" si="57"/>
        <v>0</v>
      </c>
      <c r="L119" s="319">
        <f t="shared" si="57"/>
        <v>0</v>
      </c>
      <c r="M119" s="319">
        <f t="shared" si="57"/>
        <v>0</v>
      </c>
      <c r="N119" s="319">
        <f t="shared" si="57"/>
        <v>0</v>
      </c>
      <c r="O119" s="319">
        <f t="shared" si="57"/>
        <v>0</v>
      </c>
      <c r="P119" s="319">
        <f t="shared" si="57"/>
        <v>-3994008</v>
      </c>
      <c r="Q119" s="319">
        <f t="shared" si="57"/>
        <v>0</v>
      </c>
      <c r="R119" s="319">
        <f t="shared" si="57"/>
        <v>0</v>
      </c>
      <c r="S119" s="319">
        <f t="shared" si="57"/>
        <v>0</v>
      </c>
      <c r="T119" s="319">
        <f t="shared" si="57"/>
        <v>-500000</v>
      </c>
      <c r="U119" s="319">
        <f t="shared" si="57"/>
        <v>0</v>
      </c>
      <c r="V119" s="319">
        <f t="shared" si="57"/>
        <v>0</v>
      </c>
      <c r="W119" s="319">
        <f t="shared" si="57"/>
        <v>-19083694</v>
      </c>
      <c r="X119" s="319">
        <f t="shared" si="57"/>
        <v>0</v>
      </c>
      <c r="Y119" s="319">
        <f t="shared" si="57"/>
        <v>-600000</v>
      </c>
      <c r="Z119" s="319">
        <f t="shared" si="57"/>
        <v>-5760000</v>
      </c>
      <c r="AA119" s="319">
        <f t="shared" si="57"/>
        <v>-6200000</v>
      </c>
      <c r="AB119" s="319">
        <f t="shared" si="57"/>
        <v>-6100000</v>
      </c>
      <c r="AC119" s="319">
        <f t="shared" si="57"/>
        <v>0</v>
      </c>
      <c r="AD119" s="319">
        <f t="shared" si="57"/>
        <v>0</v>
      </c>
      <c r="AE119" s="319">
        <f t="shared" si="57"/>
        <v>0</v>
      </c>
      <c r="AF119" s="319">
        <f t="shared" si="57"/>
        <v>0</v>
      </c>
      <c r="AG119" s="319">
        <f t="shared" si="57"/>
        <v>0</v>
      </c>
      <c r="AH119" s="319">
        <f t="shared" si="57"/>
        <v>0</v>
      </c>
      <c r="AI119" s="319">
        <f t="shared" si="57"/>
        <v>0</v>
      </c>
      <c r="AJ119" s="319">
        <f t="shared" si="57"/>
        <v>47201617.722326688</v>
      </c>
      <c r="AK119" s="319">
        <f t="shared" si="57"/>
        <v>0</v>
      </c>
      <c r="AL119" s="319">
        <f t="shared" si="57"/>
        <v>0</v>
      </c>
      <c r="AM119" s="319">
        <f t="shared" si="57"/>
        <v>0</v>
      </c>
      <c r="AN119" s="319">
        <f t="shared" si="57"/>
        <v>0</v>
      </c>
      <c r="AO119" s="319">
        <f t="shared" si="57"/>
        <v>0</v>
      </c>
      <c r="AP119" s="319">
        <f t="shared" si="57"/>
        <v>0</v>
      </c>
      <c r="AQ119" s="319">
        <f t="shared" si="57"/>
        <v>0</v>
      </c>
      <c r="AR119" s="319">
        <f t="shared" si="57"/>
        <v>0</v>
      </c>
      <c r="AS119" s="319">
        <f t="shared" si="57"/>
        <v>0</v>
      </c>
      <c r="AT119" s="319">
        <f t="shared" si="57"/>
        <v>0</v>
      </c>
      <c r="AU119" s="319">
        <f t="shared" si="57"/>
        <v>0</v>
      </c>
      <c r="AV119" s="319">
        <f t="shared" si="57"/>
        <v>0</v>
      </c>
      <c r="AW119" s="319">
        <f t="shared" si="57"/>
        <v>0</v>
      </c>
      <c r="AX119" s="319">
        <f t="shared" si="57"/>
        <v>0</v>
      </c>
      <c r="AY119" s="319">
        <f t="shared" si="57"/>
        <v>0</v>
      </c>
      <c r="AZ119" s="319">
        <f t="shared" si="57"/>
        <v>0</v>
      </c>
      <c r="BA119" s="319">
        <f t="shared" si="57"/>
        <v>0</v>
      </c>
      <c r="BB119" s="319">
        <f t="shared" si="57"/>
        <v>0</v>
      </c>
      <c r="BC119" s="319">
        <f t="shared" si="57"/>
        <v>0</v>
      </c>
      <c r="BD119" s="319">
        <f t="shared" si="57"/>
        <v>0</v>
      </c>
      <c r="BE119" s="319">
        <f t="shared" si="57"/>
        <v>0</v>
      </c>
      <c r="BF119" s="319">
        <f t="shared" si="57"/>
        <v>0</v>
      </c>
      <c r="BG119" s="319">
        <f t="shared" si="57"/>
        <v>0</v>
      </c>
      <c r="BH119" s="319">
        <f t="shared" si="57"/>
        <v>0</v>
      </c>
      <c r="BI119" s="319">
        <f t="shared" si="57"/>
        <v>0</v>
      </c>
      <c r="BJ119" s="319">
        <f t="shared" si="57"/>
        <v>0</v>
      </c>
      <c r="BK119" s="319">
        <f t="shared" si="57"/>
        <v>0</v>
      </c>
      <c r="BL119" s="319">
        <f t="shared" si="57"/>
        <v>0</v>
      </c>
      <c r="BM119" s="319">
        <f t="shared" si="57"/>
        <v>0</v>
      </c>
      <c r="BN119" s="319">
        <f t="shared" si="57"/>
        <v>0</v>
      </c>
      <c r="BO119" s="319">
        <f t="shared" si="57"/>
        <v>0</v>
      </c>
      <c r="BP119" s="319">
        <f t="shared" si="57"/>
        <v>0</v>
      </c>
      <c r="BQ119" s="319">
        <f t="shared" si="57"/>
        <v>0</v>
      </c>
      <c r="BR119" s="319">
        <f t="shared" si="57"/>
        <v>0</v>
      </c>
      <c r="BS119" s="319">
        <f t="shared" si="57"/>
        <v>0</v>
      </c>
      <c r="BT119" s="319">
        <f t="shared" si="57"/>
        <v>0</v>
      </c>
      <c r="BU119" s="319">
        <f t="shared" si="57"/>
        <v>0</v>
      </c>
      <c r="BV119" s="319">
        <f t="shared" si="57"/>
        <v>0</v>
      </c>
      <c r="BW119" s="319">
        <f t="shared" si="57"/>
        <v>0</v>
      </c>
      <c r="BX119" s="319">
        <f t="shared" si="57"/>
        <v>1278477.9538613474</v>
      </c>
    </row>
    <row r="120" spans="3:76" outlineLevel="1">
      <c r="C120" s="312"/>
      <c r="D120" s="322" t="s">
        <v>275</v>
      </c>
      <c r="E120" s="321">
        <f>E119</f>
        <v>0</v>
      </c>
      <c r="F120" s="321">
        <f t="shared" ref="F120:BX120" si="58">E120+F119</f>
        <v>0</v>
      </c>
      <c r="G120" s="321">
        <f t="shared" si="58"/>
        <v>0</v>
      </c>
      <c r="H120" s="321">
        <f t="shared" si="58"/>
        <v>0</v>
      </c>
      <c r="I120" s="321">
        <f t="shared" si="58"/>
        <v>0</v>
      </c>
      <c r="J120" s="321">
        <f t="shared" si="58"/>
        <v>0</v>
      </c>
      <c r="K120" s="321">
        <f t="shared" si="58"/>
        <v>0</v>
      </c>
      <c r="L120" s="321">
        <f t="shared" si="58"/>
        <v>0</v>
      </c>
      <c r="M120" s="321">
        <f t="shared" si="58"/>
        <v>0</v>
      </c>
      <c r="N120" s="321">
        <f t="shared" si="58"/>
        <v>0</v>
      </c>
      <c r="O120" s="321">
        <f t="shared" si="58"/>
        <v>0</v>
      </c>
      <c r="P120" s="321">
        <f t="shared" si="58"/>
        <v>-3994008</v>
      </c>
      <c r="Q120" s="321">
        <f t="shared" si="58"/>
        <v>-3994008</v>
      </c>
      <c r="R120" s="321">
        <f t="shared" si="58"/>
        <v>-3994008</v>
      </c>
      <c r="S120" s="321">
        <f t="shared" si="58"/>
        <v>-3994008</v>
      </c>
      <c r="T120" s="321">
        <f t="shared" si="58"/>
        <v>-4494008</v>
      </c>
      <c r="U120" s="321">
        <f t="shared" si="58"/>
        <v>-4494008</v>
      </c>
      <c r="V120" s="321">
        <f t="shared" si="58"/>
        <v>-4494008</v>
      </c>
      <c r="W120" s="321">
        <f t="shared" si="58"/>
        <v>-23577702</v>
      </c>
      <c r="X120" s="321">
        <f t="shared" si="58"/>
        <v>-23577702</v>
      </c>
      <c r="Y120" s="321">
        <f t="shared" si="58"/>
        <v>-24177702</v>
      </c>
      <c r="Z120" s="321">
        <f t="shared" si="58"/>
        <v>-29937702</v>
      </c>
      <c r="AA120" s="321">
        <f t="shared" si="58"/>
        <v>-36137702</v>
      </c>
      <c r="AB120" s="321">
        <f t="shared" si="58"/>
        <v>-42237702</v>
      </c>
      <c r="AC120" s="321">
        <f t="shared" si="58"/>
        <v>-42237702</v>
      </c>
      <c r="AD120" s="321">
        <f t="shared" si="58"/>
        <v>-42237702</v>
      </c>
      <c r="AE120" s="321">
        <f t="shared" si="58"/>
        <v>-42237702</v>
      </c>
      <c r="AF120" s="321">
        <f t="shared" si="58"/>
        <v>-42237702</v>
      </c>
      <c r="AG120" s="321">
        <f t="shared" si="58"/>
        <v>-42237702</v>
      </c>
      <c r="AH120" s="321">
        <f t="shared" si="58"/>
        <v>-42237702</v>
      </c>
      <c r="AI120" s="321">
        <f t="shared" si="58"/>
        <v>-42237702</v>
      </c>
      <c r="AJ120" s="321">
        <f t="shared" si="58"/>
        <v>4963915.7223266885</v>
      </c>
      <c r="AK120" s="321">
        <f t="shared" si="58"/>
        <v>4963915.7223266885</v>
      </c>
      <c r="AL120" s="321">
        <f t="shared" si="58"/>
        <v>4963915.7223266885</v>
      </c>
      <c r="AM120" s="321">
        <f t="shared" si="58"/>
        <v>4963915.7223266885</v>
      </c>
      <c r="AN120" s="321">
        <f t="shared" si="58"/>
        <v>4963915.7223266885</v>
      </c>
      <c r="AO120" s="321">
        <f t="shared" si="58"/>
        <v>4963915.7223266885</v>
      </c>
      <c r="AP120" s="321">
        <f t="shared" si="58"/>
        <v>4963915.7223266885</v>
      </c>
      <c r="AQ120" s="321">
        <f t="shared" si="58"/>
        <v>4963915.7223266885</v>
      </c>
      <c r="AR120" s="321">
        <f t="shared" si="58"/>
        <v>4963915.7223266885</v>
      </c>
      <c r="AS120" s="321">
        <f t="shared" si="58"/>
        <v>4963915.7223266885</v>
      </c>
      <c r="AT120" s="321">
        <f t="shared" si="58"/>
        <v>4963915.7223266885</v>
      </c>
      <c r="AU120" s="321">
        <f t="shared" si="58"/>
        <v>4963915.7223266885</v>
      </c>
      <c r="AV120" s="321">
        <f t="shared" si="58"/>
        <v>4963915.7223266885</v>
      </c>
      <c r="AW120" s="321">
        <f t="shared" si="58"/>
        <v>4963915.7223266885</v>
      </c>
      <c r="AX120" s="321">
        <f t="shared" si="58"/>
        <v>4963915.7223266885</v>
      </c>
      <c r="AY120" s="321">
        <f t="shared" si="58"/>
        <v>4963915.7223266885</v>
      </c>
      <c r="AZ120" s="321">
        <f t="shared" si="58"/>
        <v>4963915.7223266885</v>
      </c>
      <c r="BA120" s="321">
        <f t="shared" si="58"/>
        <v>4963915.7223266885</v>
      </c>
      <c r="BB120" s="321">
        <f t="shared" si="58"/>
        <v>4963915.7223266885</v>
      </c>
      <c r="BC120" s="321">
        <f t="shared" si="58"/>
        <v>4963915.7223266885</v>
      </c>
      <c r="BD120" s="321">
        <f t="shared" si="58"/>
        <v>4963915.7223266885</v>
      </c>
      <c r="BE120" s="321">
        <f t="shared" si="58"/>
        <v>4963915.7223266885</v>
      </c>
      <c r="BF120" s="321">
        <f t="shared" si="58"/>
        <v>4963915.7223266885</v>
      </c>
      <c r="BG120" s="321">
        <f t="shared" si="58"/>
        <v>4963915.7223266885</v>
      </c>
      <c r="BH120" s="321">
        <f t="shared" si="58"/>
        <v>4963915.7223266885</v>
      </c>
      <c r="BI120" s="321">
        <f t="shared" si="58"/>
        <v>4963915.7223266885</v>
      </c>
      <c r="BJ120" s="321">
        <f t="shared" si="58"/>
        <v>4963915.7223266885</v>
      </c>
      <c r="BK120" s="321">
        <f t="shared" si="58"/>
        <v>4963915.7223266885</v>
      </c>
      <c r="BL120" s="321">
        <f t="shared" si="58"/>
        <v>4963915.7223266885</v>
      </c>
      <c r="BM120" s="321">
        <f t="shared" si="58"/>
        <v>4963915.7223266885</v>
      </c>
      <c r="BN120" s="321">
        <f t="shared" si="58"/>
        <v>4963915.7223266885</v>
      </c>
      <c r="BO120" s="321">
        <f t="shared" si="58"/>
        <v>4963915.7223266885</v>
      </c>
      <c r="BP120" s="321">
        <f t="shared" si="58"/>
        <v>4963915.7223266885</v>
      </c>
      <c r="BQ120" s="321">
        <f t="shared" si="58"/>
        <v>4963915.7223266885</v>
      </c>
      <c r="BR120" s="321">
        <f t="shared" si="58"/>
        <v>4963915.7223266885</v>
      </c>
      <c r="BS120" s="321">
        <f t="shared" si="58"/>
        <v>4963915.7223266885</v>
      </c>
      <c r="BT120" s="321">
        <f t="shared" si="58"/>
        <v>4963915.7223266885</v>
      </c>
      <c r="BU120" s="321">
        <f t="shared" si="58"/>
        <v>4963915.7223266885</v>
      </c>
      <c r="BV120" s="321">
        <f t="shared" si="58"/>
        <v>4963915.7223266885</v>
      </c>
      <c r="BW120" s="321">
        <f t="shared" si="58"/>
        <v>4963915.7223266885</v>
      </c>
      <c r="BX120" s="321">
        <f t="shared" si="58"/>
        <v>6242393.6761880359</v>
      </c>
    </row>
    <row r="121" spans="3:76" outlineLevel="1">
      <c r="C121" s="311" t="s">
        <v>261</v>
      </c>
      <c r="D121" s="322">
        <f>IRR(P119:AO119)*12</f>
        <v>0.11161637889501463</v>
      </c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  <c r="AQ121" s="229"/>
      <c r="AR121" s="229"/>
      <c r="AS121" s="229"/>
      <c r="AT121" s="229"/>
      <c r="AU121" s="229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29"/>
      <c r="BF121" s="229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29"/>
      <c r="BQ121" s="229"/>
      <c r="BR121" s="229"/>
      <c r="BS121" s="229"/>
      <c r="BT121" s="229"/>
      <c r="BU121" s="229"/>
      <c r="BV121" s="229"/>
      <c r="BW121" s="229"/>
      <c r="BX121" s="229"/>
    </row>
    <row r="122" spans="3:76" outlineLevel="1">
      <c r="C122" s="323" t="s">
        <v>269</v>
      </c>
      <c r="D122" s="324">
        <f>-MIN(E120:BL120)</f>
        <v>42237702</v>
      </c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29"/>
      <c r="AK122" s="229"/>
      <c r="AL122" s="229"/>
      <c r="AM122" s="229"/>
      <c r="AN122" s="229"/>
      <c r="AO122" s="229"/>
      <c r="AP122" s="229"/>
      <c r="AQ122" s="229"/>
      <c r="AR122" s="229"/>
      <c r="AS122" s="229"/>
      <c r="AT122" s="229"/>
      <c r="AU122" s="229"/>
      <c r="AV122" s="229"/>
      <c r="AW122" s="229"/>
      <c r="AX122" s="229"/>
      <c r="AY122" s="229"/>
      <c r="AZ122" s="229"/>
      <c r="BA122" s="229"/>
      <c r="BB122" s="229"/>
      <c r="BC122" s="229"/>
      <c r="BD122" s="229"/>
      <c r="BE122" s="229"/>
      <c r="BF122" s="229"/>
      <c r="BG122" s="229"/>
      <c r="BH122" s="229"/>
      <c r="BI122" s="229"/>
      <c r="BJ122" s="229"/>
      <c r="BK122" s="229"/>
      <c r="BL122" s="229"/>
      <c r="BM122" s="229"/>
      <c r="BN122" s="229"/>
      <c r="BO122" s="229"/>
      <c r="BP122" s="229"/>
      <c r="BQ122" s="229"/>
      <c r="BR122" s="229"/>
      <c r="BS122" s="229"/>
      <c r="BT122" s="229"/>
      <c r="BU122" s="229"/>
      <c r="BV122" s="229"/>
      <c r="BW122" s="229"/>
      <c r="BX122" s="229"/>
    </row>
    <row r="123" spans="3:76" outlineLevel="1">
      <c r="C123" s="323" t="s">
        <v>276</v>
      </c>
      <c r="D123" s="324"/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  <c r="AG123" s="229"/>
      <c r="AH123" s="229"/>
      <c r="AI123" s="229"/>
      <c r="AJ123" s="229"/>
      <c r="AK123" s="229"/>
      <c r="AL123" s="229"/>
      <c r="AM123" s="229"/>
      <c r="AN123" s="229"/>
      <c r="AO123" s="229"/>
      <c r="AP123" s="229"/>
      <c r="AQ123" s="229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229"/>
      <c r="BD123" s="229"/>
      <c r="BE123" s="229"/>
      <c r="BF123" s="229"/>
      <c r="BG123" s="229"/>
      <c r="BH123" s="229"/>
      <c r="BI123" s="229"/>
      <c r="BJ123" s="229"/>
      <c r="BK123" s="229"/>
      <c r="BL123" s="229"/>
      <c r="BM123" s="229"/>
      <c r="BN123" s="229"/>
      <c r="BO123" s="229"/>
      <c r="BP123" s="229"/>
      <c r="BQ123" s="229"/>
      <c r="BR123" s="229"/>
      <c r="BS123" s="229"/>
      <c r="BT123" s="229"/>
      <c r="BU123" s="229"/>
      <c r="BV123" s="229"/>
      <c r="BW123" s="229"/>
      <c r="BX123" s="229"/>
    </row>
    <row r="124" spans="3:76" outlineLevel="1">
      <c r="C124" s="311" t="s">
        <v>270</v>
      </c>
      <c r="D124" s="325">
        <f>D123+D122</f>
        <v>42237702</v>
      </c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29"/>
      <c r="AC124" s="229"/>
      <c r="AD124" s="229"/>
      <c r="AE124" s="229"/>
      <c r="AF124" s="229"/>
      <c r="AG124" s="229"/>
      <c r="AH124" s="229"/>
      <c r="AI124" s="229"/>
      <c r="AJ124" s="229"/>
      <c r="AK124" s="229"/>
      <c r="AL124" s="229"/>
      <c r="AM124" s="229"/>
      <c r="AN124" s="229"/>
      <c r="AO124" s="229"/>
      <c r="AP124" s="229"/>
      <c r="AQ124" s="229"/>
      <c r="AR124" s="229"/>
      <c r="AS124" s="229"/>
      <c r="AT124" s="229"/>
      <c r="AU124" s="229"/>
      <c r="AV124" s="229"/>
      <c r="AW124" s="229"/>
      <c r="AX124" s="229"/>
      <c r="AY124" s="229"/>
      <c r="AZ124" s="229"/>
      <c r="BA124" s="229"/>
      <c r="BB124" s="229"/>
      <c r="BC124" s="229"/>
      <c r="BD124" s="229"/>
      <c r="BE124" s="229"/>
      <c r="BF124" s="229"/>
      <c r="BG124" s="229"/>
      <c r="BH124" s="229"/>
      <c r="BI124" s="229"/>
      <c r="BJ124" s="229"/>
      <c r="BK124" s="229"/>
      <c r="BL124" s="229"/>
      <c r="BM124" s="229"/>
      <c r="BN124" s="229"/>
      <c r="BO124" s="229"/>
      <c r="BP124" s="229"/>
      <c r="BQ124" s="229"/>
      <c r="BR124" s="229"/>
      <c r="BS124" s="229"/>
      <c r="BT124" s="229"/>
      <c r="BU124" s="229"/>
      <c r="BV124" s="229"/>
      <c r="BW124" s="229"/>
      <c r="BX124" s="229"/>
    </row>
    <row r="125" spans="3:76" outlineLevel="1">
      <c r="C125" s="311" t="s">
        <v>271</v>
      </c>
      <c r="D125" s="325">
        <f>AJ118+AJ116</f>
        <v>4963915.7223266857</v>
      </c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29"/>
      <c r="AC125" s="229"/>
      <c r="AD125" s="229"/>
      <c r="AE125" s="229"/>
      <c r="AF125" s="229"/>
      <c r="AG125" s="229"/>
      <c r="AH125" s="229"/>
      <c r="AI125" s="229"/>
      <c r="AJ125" s="229"/>
      <c r="AK125" s="229"/>
      <c r="AL125" s="229"/>
      <c r="AM125" s="229"/>
      <c r="AN125" s="229"/>
      <c r="AO125" s="229"/>
      <c r="AP125" s="229"/>
      <c r="AQ125" s="229"/>
      <c r="AR125" s="229"/>
      <c r="AS125" s="229"/>
      <c r="AT125" s="229"/>
      <c r="AU125" s="229"/>
      <c r="AV125" s="229"/>
      <c r="AW125" s="229"/>
      <c r="AX125" s="229"/>
      <c r="AY125" s="229"/>
      <c r="AZ125" s="229"/>
      <c r="BA125" s="229"/>
      <c r="BB125" s="229"/>
      <c r="BC125" s="229"/>
      <c r="BD125" s="229"/>
      <c r="BE125" s="229"/>
      <c r="BF125" s="229"/>
      <c r="BG125" s="229"/>
      <c r="BH125" s="229"/>
      <c r="BI125" s="229"/>
      <c r="BJ125" s="229"/>
      <c r="BK125" s="229"/>
      <c r="BL125" s="229"/>
      <c r="BM125" s="229"/>
      <c r="BN125" s="229"/>
      <c r="BO125" s="229"/>
      <c r="BP125" s="229"/>
      <c r="BQ125" s="229"/>
      <c r="BR125" s="229"/>
      <c r="BS125" s="229"/>
      <c r="BT125" s="229"/>
      <c r="BU125" s="229"/>
      <c r="BV125" s="229"/>
      <c r="BW125" s="229"/>
      <c r="BX125" s="229"/>
    </row>
    <row r="126" spans="3:76" outlineLevel="1">
      <c r="C126" s="311" t="s">
        <v>272</v>
      </c>
      <c r="D126" s="322">
        <f>(D125-D123)/D124</f>
        <v>0.11752333785409741</v>
      </c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29"/>
      <c r="Y126" s="229"/>
      <c r="Z126" s="229"/>
      <c r="AA126" s="229"/>
      <c r="AB126" s="229"/>
      <c r="AC126" s="229"/>
      <c r="AD126" s="229"/>
      <c r="AE126" s="229"/>
      <c r="AF126" s="229"/>
      <c r="AG126" s="229"/>
      <c r="AH126" s="229"/>
      <c r="AI126" s="229"/>
      <c r="AJ126" s="229"/>
      <c r="AK126" s="229"/>
      <c r="AL126" s="229"/>
      <c r="AM126" s="229"/>
      <c r="AN126" s="229"/>
      <c r="AO126" s="229"/>
      <c r="AP126" s="229"/>
      <c r="AQ126" s="229"/>
      <c r="AR126" s="229"/>
      <c r="AS126" s="229"/>
      <c r="AT126" s="229"/>
      <c r="AU126" s="229"/>
      <c r="AV126" s="229"/>
      <c r="AW126" s="229"/>
      <c r="AX126" s="229"/>
      <c r="AY126" s="229"/>
      <c r="AZ126" s="229"/>
      <c r="BA126" s="229"/>
      <c r="BB126" s="229"/>
      <c r="BC126" s="229"/>
      <c r="BD126" s="229"/>
      <c r="BE126" s="229"/>
      <c r="BF126" s="229"/>
      <c r="BG126" s="229"/>
      <c r="BH126" s="229"/>
      <c r="BI126" s="229"/>
      <c r="BJ126" s="229"/>
      <c r="BK126" s="229"/>
      <c r="BL126" s="229"/>
      <c r="BM126" s="229"/>
      <c r="BN126" s="229"/>
      <c r="BO126" s="229"/>
      <c r="BP126" s="229"/>
      <c r="BQ126" s="229"/>
      <c r="BR126" s="229"/>
      <c r="BS126" s="229"/>
      <c r="BT126" s="229"/>
      <c r="BU126" s="229"/>
      <c r="BV126" s="229"/>
      <c r="BW126" s="229"/>
      <c r="BX126" s="229"/>
    </row>
    <row r="136" spans="3:3" hidden="1" collapsed="1">
      <c r="C136" s="308" t="s">
        <v>277</v>
      </c>
    </row>
    <row r="137" spans="3:3" hidden="1" outlineLevel="1">
      <c r="C137" s="308" t="s">
        <v>274</v>
      </c>
    </row>
    <row r="138" spans="3:3" hidden="1" outlineLevel="1">
      <c r="C138" s="308" t="s">
        <v>265</v>
      </c>
    </row>
    <row r="139" spans="3:3" hidden="1" outlineLevel="1">
      <c r="C139" s="308" t="s">
        <v>266</v>
      </c>
    </row>
    <row r="140" spans="3:3" hidden="1" outlineLevel="1">
      <c r="C140" s="311" t="s">
        <v>267</v>
      </c>
    </row>
    <row r="141" spans="3:3" hidden="1" outlineLevel="1">
      <c r="C141" s="308" t="s">
        <v>268</v>
      </c>
    </row>
    <row r="142" spans="3:3" hidden="1" outlineLevel="1">
      <c r="C142" s="312"/>
    </row>
    <row r="143" spans="3:3" hidden="1" outlineLevel="1">
      <c r="C143" s="311" t="s">
        <v>261</v>
      </c>
    </row>
    <row r="144" spans="3:3" hidden="1" outlineLevel="1">
      <c r="C144" s="323" t="s">
        <v>269</v>
      </c>
    </row>
    <row r="145" spans="3:3" hidden="1" outlineLevel="1">
      <c r="C145" s="323" t="s">
        <v>276</v>
      </c>
    </row>
    <row r="146" spans="3:3" hidden="1" outlineLevel="1">
      <c r="C146" s="311" t="s">
        <v>270</v>
      </c>
    </row>
    <row r="147" spans="3:3" hidden="1" outlineLevel="1">
      <c r="C147" s="311" t="s">
        <v>271</v>
      </c>
    </row>
    <row r="148" spans="3:3" hidden="1" outlineLevel="1">
      <c r="C148" s="311" t="s">
        <v>272</v>
      </c>
    </row>
    <row r="149" spans="3:3" ht="14.1" hidden="1"/>
    <row r="150" spans="3:3" ht="14.1" hidden="1"/>
    <row r="151" spans="3:3" ht="14.1" hidden="1"/>
    <row r="152" spans="3:3" ht="14.1" hidden="1"/>
    <row r="153" spans="3:3" hidden="1" collapsed="1">
      <c r="C153" s="308" t="s">
        <v>278</v>
      </c>
    </row>
    <row r="154" spans="3:3" hidden="1" outlineLevel="1">
      <c r="C154" s="308" t="s">
        <v>274</v>
      </c>
    </row>
    <row r="155" spans="3:3" hidden="1" outlineLevel="1">
      <c r="C155" s="308" t="s">
        <v>265</v>
      </c>
    </row>
    <row r="156" spans="3:3" hidden="1" outlineLevel="1">
      <c r="C156" s="308" t="s">
        <v>266</v>
      </c>
    </row>
    <row r="157" spans="3:3" hidden="1" outlineLevel="1">
      <c r="C157" s="311" t="s">
        <v>267</v>
      </c>
    </row>
    <row r="158" spans="3:3" hidden="1" outlineLevel="1">
      <c r="C158" s="308" t="s">
        <v>268</v>
      </c>
    </row>
    <row r="159" spans="3:3" hidden="1" outlineLevel="1">
      <c r="C159" s="312"/>
    </row>
    <row r="160" spans="3:3" hidden="1" outlineLevel="1">
      <c r="C160" s="311" t="s">
        <v>261</v>
      </c>
    </row>
    <row r="161" spans="3:3" hidden="1" outlineLevel="1">
      <c r="C161" s="323" t="s">
        <v>269</v>
      </c>
    </row>
    <row r="162" spans="3:3" hidden="1" outlineLevel="1">
      <c r="C162" s="323" t="s">
        <v>276</v>
      </c>
    </row>
    <row r="163" spans="3:3" hidden="1" outlineLevel="1">
      <c r="C163" s="311" t="s">
        <v>270</v>
      </c>
    </row>
    <row r="164" spans="3:3" hidden="1" outlineLevel="1">
      <c r="C164" s="311" t="s">
        <v>271</v>
      </c>
    </row>
    <row r="165" spans="3:3" hidden="1" outlineLevel="1">
      <c r="C165" s="311" t="s">
        <v>272</v>
      </c>
    </row>
  </sheetData>
  <mergeCells count="34">
    <mergeCell ref="B18:B81"/>
    <mergeCell ref="B82:C82"/>
    <mergeCell ref="B2:C4"/>
    <mergeCell ref="B5:B8"/>
    <mergeCell ref="B9:B11"/>
    <mergeCell ref="B12:B16"/>
    <mergeCell ref="B17:C17"/>
    <mergeCell ref="B83:C83"/>
    <mergeCell ref="B84:C84"/>
    <mergeCell ref="B85:C85"/>
    <mergeCell ref="D91:E91"/>
    <mergeCell ref="D94:BW94"/>
    <mergeCell ref="BY74:BZ74"/>
    <mergeCell ref="BZ75:BZ81"/>
    <mergeCell ref="BY82:BZ82"/>
    <mergeCell ref="BY83:BZ83"/>
    <mergeCell ref="BY84:BZ84"/>
    <mergeCell ref="BM2:BX2"/>
    <mergeCell ref="BY2:BZ4"/>
    <mergeCell ref="BZ12:BZ16"/>
    <mergeCell ref="BZ18:BZ73"/>
    <mergeCell ref="CE18:CE73"/>
    <mergeCell ref="BZ5:BZ8"/>
    <mergeCell ref="CE5:CE8"/>
    <mergeCell ref="BZ9:BZ11"/>
    <mergeCell ref="CE9:CE11"/>
    <mergeCell ref="CE12:CE16"/>
    <mergeCell ref="BY17:BZ17"/>
    <mergeCell ref="CD17:CE17"/>
    <mergeCell ref="E2:P2"/>
    <mergeCell ref="Q2:AB2"/>
    <mergeCell ref="AC2:AN2"/>
    <mergeCell ref="AO2:AZ2"/>
    <mergeCell ref="BA2:BL2"/>
  </mergeCells>
  <conditionalFormatting sqref="E18:BX18 E24:BX24 E28:BX28 E36:BX36 E39:BX39 E49:BX49 E55:BX55 E63:BX63 E71:BX71 E74:BX74">
    <cfRule type="cellIs" dxfId="13" priority="1" operator="equal">
      <formula>0</formula>
    </cfRule>
  </conditionalFormatting>
  <conditionalFormatting sqref="F99:BS102 E100 BT100:BX100 E102 BT102:BX102 E114 F114:BX117 E116 E136 M136:BX136 F136:L139 E138 M138:BX138 E155:BX155">
    <cfRule type="cellIs" dxfId="12" priority="2" operator="equal">
      <formula>0</formula>
    </cfRule>
  </conditionalFormatting>
  <dataValidations count="1">
    <dataValidation type="list" allowBlank="1" showErrorMessage="1" sqref="CD4" xr:uid="{00000000-0002-0000-0700-000000000000}">
      <formula1>$D$3:$BX$3</formula1>
    </dataValidation>
  </dataValidations>
  <pageMargins left="0" right="0" top="0" bottom="0" header="0" footer="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B1:CM165"/>
  <sheetViews>
    <sheetView tabSelected="1" workbookViewId="0">
      <pane xSplit="3" ySplit="4" topLeftCell="D5" activePane="bottomRight" state="frozen"/>
      <selection pane="bottomRight" activeCell="BY85" sqref="BY85:BZ97"/>
      <selection pane="bottomLeft"/>
      <selection pane="topRight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/>
    <col min="18" max="28" width="9.625" customWidth="1" outlineLevel="2"/>
    <col min="29" max="29" width="9.625" customWidth="1" outlineLevel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4" bestFit="1" customWidth="1"/>
  </cols>
  <sheetData>
    <row r="1" spans="2:90">
      <c r="B1" s="230" t="s">
        <v>172</v>
      </c>
      <c r="C1" s="231">
        <v>46022</v>
      </c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 t="s">
        <v>173</v>
      </c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29"/>
      <c r="CB1" s="229"/>
      <c r="CC1" s="229"/>
      <c r="CD1" s="229"/>
      <c r="CE1" s="229"/>
      <c r="CF1" s="229"/>
      <c r="CG1" s="229"/>
      <c r="CH1" s="229"/>
      <c r="CI1" s="229"/>
      <c r="CJ1" s="229"/>
      <c r="CK1" s="229"/>
      <c r="CL1" s="229"/>
    </row>
    <row r="2" spans="2:90">
      <c r="B2" s="545" t="s">
        <v>174</v>
      </c>
      <c r="C2" s="564"/>
      <c r="D2" s="495"/>
      <c r="E2" s="530">
        <v>45292</v>
      </c>
      <c r="F2" s="567"/>
      <c r="G2" s="567"/>
      <c r="H2" s="567"/>
      <c r="I2" s="567"/>
      <c r="J2" s="567"/>
      <c r="K2" s="567"/>
      <c r="L2" s="567"/>
      <c r="M2" s="567"/>
      <c r="N2" s="567"/>
      <c r="O2" s="567"/>
      <c r="P2" s="568"/>
      <c r="Q2" s="531">
        <v>2025</v>
      </c>
      <c r="R2" s="567"/>
      <c r="S2" s="567"/>
      <c r="T2" s="567"/>
      <c r="U2" s="567"/>
      <c r="V2" s="567"/>
      <c r="W2" s="567"/>
      <c r="X2" s="567"/>
      <c r="Y2" s="567"/>
      <c r="Z2" s="567"/>
      <c r="AA2" s="567"/>
      <c r="AB2" s="568"/>
      <c r="AC2" s="531">
        <v>2026</v>
      </c>
      <c r="AD2" s="567"/>
      <c r="AE2" s="567"/>
      <c r="AF2" s="567"/>
      <c r="AG2" s="567"/>
      <c r="AH2" s="567"/>
      <c r="AI2" s="567"/>
      <c r="AJ2" s="567"/>
      <c r="AK2" s="567"/>
      <c r="AL2" s="567"/>
      <c r="AM2" s="567"/>
      <c r="AN2" s="568"/>
      <c r="AO2" s="530">
        <v>46388</v>
      </c>
      <c r="AP2" s="567"/>
      <c r="AQ2" s="567"/>
      <c r="AR2" s="567"/>
      <c r="AS2" s="567"/>
      <c r="AT2" s="567"/>
      <c r="AU2" s="567"/>
      <c r="AV2" s="567"/>
      <c r="AW2" s="567"/>
      <c r="AX2" s="567"/>
      <c r="AY2" s="567"/>
      <c r="AZ2" s="568"/>
      <c r="BA2" s="530">
        <v>46753</v>
      </c>
      <c r="BB2" s="567"/>
      <c r="BC2" s="567"/>
      <c r="BD2" s="567"/>
      <c r="BE2" s="567"/>
      <c r="BF2" s="567"/>
      <c r="BG2" s="567"/>
      <c r="BH2" s="567"/>
      <c r="BI2" s="567"/>
      <c r="BJ2" s="567"/>
      <c r="BK2" s="567"/>
      <c r="BL2" s="568"/>
      <c r="BM2" s="530">
        <v>47119</v>
      </c>
      <c r="BN2" s="567"/>
      <c r="BO2" s="567"/>
      <c r="BP2" s="567"/>
      <c r="BQ2" s="567"/>
      <c r="BR2" s="567"/>
      <c r="BS2" s="567"/>
      <c r="BT2" s="567"/>
      <c r="BU2" s="567"/>
      <c r="BV2" s="567"/>
      <c r="BW2" s="567"/>
      <c r="BX2" s="568"/>
      <c r="BY2" s="532" t="s">
        <v>175</v>
      </c>
      <c r="BZ2" s="564"/>
      <c r="CA2" s="229"/>
      <c r="CB2" s="229"/>
      <c r="CC2" s="229"/>
      <c r="CD2" s="229"/>
      <c r="CE2" s="229"/>
      <c r="CF2" s="229"/>
      <c r="CG2" s="229"/>
      <c r="CH2" s="229"/>
      <c r="CI2" s="229"/>
      <c r="CJ2" s="229"/>
      <c r="CK2" s="229"/>
      <c r="CL2" s="229"/>
    </row>
    <row r="3" spans="2:90">
      <c r="B3" s="559"/>
      <c r="C3" s="564"/>
      <c r="D3" s="495"/>
      <c r="E3" s="233" t="str">
        <f>IFERROR(VLOOKUP(TEXT(E4,"mm.yyyy"),HMG!$B$2:$C$1001, 2, FALSE),"")</f>
        <v>zapis KS</v>
      </c>
      <c r="F3" s="233" t="str">
        <f>IFERROR(VLOOKUP(TEXT(F4,"mm.yyyy"),HMG!$B$2:$C$1001, 2, FALSE),"")</f>
        <v/>
      </c>
      <c r="G3" s="233" t="str">
        <f>IFERROR(VLOOKUP(TEXT(G4,"mm.yyyy"),HMG!$B$2:$C$1001, 2, FALSE),"")</f>
        <v/>
      </c>
      <c r="H3" s="233" t="str">
        <f>IFERROR(VLOOKUP(TEXT(H4,"mm.yyyy"),HMG!$B$2:$C$1001, 2, FALSE),"")</f>
        <v/>
      </c>
      <c r="I3" s="233" t="str">
        <f>IFERROR(VLOOKUP(TEXT(I4,"mm.yyyy"),HMG!$B$2:$C$1001, 2, FALSE),"")</f>
        <v/>
      </c>
      <c r="J3" s="233" t="str">
        <f>IFERROR(VLOOKUP(TEXT(J4,"mm.yyyy"),HMG!$B$2:$C$1001, 2, FALSE),"")</f>
        <v/>
      </c>
      <c r="K3" s="233" t="str">
        <f>IFERROR(VLOOKUP(TEXT(K4,"mm.yyyy"),HMG!$B$2:$C$1001, 2, FALSE),"")</f>
        <v/>
      </c>
      <c r="L3" s="233" t="str">
        <f>IFERROR(VLOOKUP(TEXT(L4,"mm.yyyy"),HMG!$B$2:$C$1001, 2, FALSE),"")</f>
        <v/>
      </c>
      <c r="M3" s="233" t="str">
        <f>IFERROR(VLOOKUP(TEXT(M4,"mm.yyyy"),HMG!$B$2:$C$1001, 2, FALSE),"")</f>
        <v/>
      </c>
      <c r="N3" s="233" t="str">
        <f>IFERROR(VLOOKUP(TEXT(N4,"mm.yyyy"),HMG!$B$2:$C$1001, 2, FALSE),"")</f>
        <v/>
      </c>
      <c r="O3" s="233" t="str">
        <f>IFERROR(VLOOKUP(TEXT(O4,"mm.yyyy"),HMG!$B$2:$C$1001, 2, FALSE),"")</f>
        <v/>
      </c>
      <c r="P3" s="233" t="str">
        <f>IFERROR(VLOOKUP(TEXT(P4,"mm.yyyy"),HMG!$B$2:$C$1001, 2, FALSE),"")</f>
        <v/>
      </c>
      <c r="Q3" s="233" t="str">
        <f>IFERROR(VLOOKUP(TEXT(Q4,"mm.yyyy"),HMG!$B$2:$C$1001, 2, FALSE),"")</f>
        <v>zapis KS</v>
      </c>
      <c r="R3" s="233" t="str">
        <f>IFERROR(VLOOKUP(TEXT(R4,"mm.yyyy"),HMG!$B$2:$C$1001, 2, FALSE),"")</f>
        <v/>
      </c>
      <c r="S3" s="233" t="str">
        <f>IFERROR(VLOOKUP(TEXT(S4,"mm.yyyy"),HMG!$B$2:$C$1001, 2, FALSE),"")</f>
        <v/>
      </c>
      <c r="T3" s="233" t="str">
        <f>IFERROR(VLOOKUP(TEXT(T4,"mm.yyyy"),HMG!$B$2:$C$1001, 2, FALSE),"")</f>
        <v/>
      </c>
      <c r="U3" s="233" t="str">
        <f>IFERROR(VLOOKUP(TEXT(U4,"mm.yyyy"),HMG!$B$2:$C$1001, 2, FALSE),"")</f>
        <v/>
      </c>
      <c r="V3" s="233" t="str">
        <f>IFERROR(VLOOKUP(TEXT(V4,"mm.yyyy"),HMG!$B$2:$C$1001, 2, FALSE),"")</f>
        <v/>
      </c>
      <c r="W3" s="233" t="str">
        <f>IFERROR(VLOOKUP(TEXT(W4,"mm.yyyy"),HMG!$B$2:$C$1001, 2, FALSE),"")</f>
        <v/>
      </c>
      <c r="X3" s="233" t="str">
        <f>IFERROR(VLOOKUP(TEXT(X4,"mm.yyyy"),HMG!$B$2:$C$1001, 2, FALSE),"")</f>
        <v/>
      </c>
      <c r="Y3" s="233" t="str">
        <f>IFERROR(VLOOKUP(TEXT(Y4,"mm.yyyy"),HMG!$B$2:$C$1001, 2, FALSE),"")</f>
        <v/>
      </c>
      <c r="Z3" s="233" t="str">
        <f>IFERROR(VLOOKUP(TEXT(Z4,"mm.yyyy"),HMG!$B$2:$C$1001, 2, FALSE),"")</f>
        <v/>
      </c>
      <c r="AA3" s="233" t="str">
        <f>IFERROR(VLOOKUP(TEXT(AA4,"mm.yyyy"),HMG!$B$2:$C$1001, 2, FALSE),"")</f>
        <v/>
      </c>
      <c r="AB3" s="233" t="str">
        <f>IFERROR(VLOOKUP(TEXT(AB4,"mm.yyyy"),HMG!$B$2:$C$1001, 2, FALSE),"")</f>
        <v/>
      </c>
      <c r="AC3" s="233" t="str">
        <f>IFERROR(VLOOKUP(TEXT(AC4,"mm.yyyy"),HMG!$B$2:$C$1001, 2, FALSE),"")</f>
        <v>zapis KS</v>
      </c>
      <c r="AD3" s="233" t="str">
        <f>IFERROR(VLOOKUP(TEXT(AD4,"mm.yyyy"),HMG!$B$2:$C$1001, 2, FALSE),"")</f>
        <v/>
      </c>
      <c r="AE3" s="233" t="str">
        <f>IFERROR(VLOOKUP(TEXT(AE4,"mm.yyyy"),HMG!$B$2:$C$1001, 2, FALSE),"")</f>
        <v/>
      </c>
      <c r="AF3" s="233" t="str">
        <f>IFERROR(VLOOKUP(TEXT(AF4,"mm.yyyy"),HMG!$B$2:$C$1001, 2, FALSE),"")</f>
        <v/>
      </c>
      <c r="AG3" s="233" t="str">
        <f>IFERROR(VLOOKUP(TEXT(AG4,"mm.yyyy"),HMG!$B$2:$C$1001, 2, FALSE),"")</f>
        <v/>
      </c>
      <c r="AH3" s="233" t="str">
        <f>IFERROR(VLOOKUP(TEXT(AH4,"mm.yyyy"),HMG!$B$2:$C$1001, 2, FALSE),"")</f>
        <v/>
      </c>
      <c r="AI3" s="233" t="str">
        <f>IFERROR(VLOOKUP(TEXT(AI4,"mm.yyyy"),HMG!$B$2:$C$1001, 2, FALSE),"")</f>
        <v/>
      </c>
      <c r="AJ3" s="233" t="str">
        <f>IFERROR(VLOOKUP(TEXT(AJ4,"mm.yyyy"),HMG!$B$2:$C$1001, 2, FALSE),"")</f>
        <v/>
      </c>
      <c r="AK3" s="233" t="str">
        <f>IFERROR(VLOOKUP(TEXT(AK4,"mm.yyyy"),HMG!$B$2:$C$1001, 2, FALSE),"")</f>
        <v/>
      </c>
      <c r="AL3" s="233" t="str">
        <f>IFERROR(VLOOKUP(TEXT(AL4,"mm.yyyy"),HMG!$B$2:$C$1001, 2, FALSE),"")</f>
        <v/>
      </c>
      <c r="AM3" s="233" t="str">
        <f>IFERROR(VLOOKUP(TEXT(AM4,"mm.yyyy"),HMG!$B$2:$C$1001, 2, FALSE),"")</f>
        <v/>
      </c>
      <c r="AN3" s="233" t="str">
        <f>IFERROR(VLOOKUP(TEXT(AN4,"mm.yyyy"),HMG!$B$2:$C$1001, 2, FALSE),"")</f>
        <v/>
      </c>
      <c r="AO3" s="233" t="str">
        <f>IFERROR(VLOOKUP(TEXT(AO4,"mm.yyyy"),HMG!$B$2:$C$1001, 2, FALSE),"")</f>
        <v>zapis KS</v>
      </c>
      <c r="AP3" s="233" t="str">
        <f>IFERROR(VLOOKUP(TEXT(AP4,"mm.yyyy"),HMG!$B$2:$C$1001, 2, FALSE),"")</f>
        <v/>
      </c>
      <c r="AQ3" s="233" t="str">
        <f>IFERROR(VLOOKUP(TEXT(AQ4,"mm.yyyy"),HMG!$B$2:$C$1001, 2, FALSE),"")</f>
        <v/>
      </c>
      <c r="AR3" s="233" t="str">
        <f>IFERROR(VLOOKUP(TEXT(AR4,"mm.yyyy"),HMG!$B$2:$C$1001, 2, FALSE),"")</f>
        <v/>
      </c>
      <c r="AS3" s="233" t="str">
        <f>IFERROR(VLOOKUP(TEXT(AS4,"mm.yyyy"),HMG!$B$2:$C$1001, 2, FALSE),"")</f>
        <v/>
      </c>
      <c r="AT3" s="233" t="str">
        <f>IFERROR(VLOOKUP(TEXT(AT4,"mm.yyyy"),HMG!$B$2:$C$1001, 2, FALSE),"")</f>
        <v/>
      </c>
      <c r="AU3" s="233" t="str">
        <f>IFERROR(VLOOKUP(TEXT(AU4,"mm.yyyy"),HMG!$B$2:$C$1001, 2, FALSE),"")</f>
        <v/>
      </c>
      <c r="AV3" s="233" t="str">
        <f>IFERROR(VLOOKUP(TEXT(AV4,"mm.yyyy"),HMG!$B$2:$C$1001, 2, FALSE),"")</f>
        <v/>
      </c>
      <c r="AW3" s="233" t="str">
        <f>IFERROR(VLOOKUP(TEXT(AW4,"mm.yyyy"),HMG!$B$2:$C$1001, 2, FALSE),"")</f>
        <v/>
      </c>
      <c r="AX3" s="233" t="str">
        <f>IFERROR(VLOOKUP(TEXT(AX4,"mm.yyyy"),HMG!$B$2:$C$1001, 2, FALSE),"")</f>
        <v/>
      </c>
      <c r="AY3" s="233" t="str">
        <f>IFERROR(VLOOKUP(TEXT(AY4,"mm.yyyy"),HMG!$B$2:$C$1001, 2, FALSE),"")</f>
        <v/>
      </c>
      <c r="AZ3" s="233" t="str">
        <f>IFERROR(VLOOKUP(TEXT(AZ4,"mm.yyyy"),HMG!$B$2:$C$1001, 2, FALSE),"")</f>
        <v/>
      </c>
      <c r="BA3" s="233" t="str">
        <f>IFERROR(VLOOKUP(TEXT(BA4,"mm.yyyy"),HMG!$B$2:$C$1001, 2, FALSE),"")</f>
        <v>zapis KS</v>
      </c>
      <c r="BB3" s="233" t="str">
        <f>IFERROR(VLOOKUP(TEXT(BB4,"mm.yyyy"),HMG!$B$2:$C$1001, 2, FALSE),"")</f>
        <v/>
      </c>
      <c r="BC3" s="233" t="str">
        <f>IFERROR(VLOOKUP(TEXT(BC4,"mm.yyyy"),HMG!$B$2:$C$1001, 2, FALSE),"")</f>
        <v/>
      </c>
      <c r="BD3" s="233" t="str">
        <f>IFERROR(VLOOKUP(TEXT(BD4,"mm.yyyy"),HMG!$B$2:$C$1001, 2, FALSE),"")</f>
        <v/>
      </c>
      <c r="BE3" s="233" t="str">
        <f>IFERROR(VLOOKUP(TEXT(BE4,"mm.yyyy"),HMG!$B$2:$C$1001, 2, FALSE),"")</f>
        <v/>
      </c>
      <c r="BF3" s="233" t="str">
        <f>IFERROR(VLOOKUP(TEXT(BF4,"mm.yyyy"),HMG!$B$2:$C$1001, 2, FALSE),"")</f>
        <v/>
      </c>
      <c r="BG3" s="233" t="str">
        <f>IFERROR(VLOOKUP(TEXT(BG4,"mm.yyyy"),HMG!$B$2:$C$1001, 2, FALSE),"")</f>
        <v/>
      </c>
      <c r="BH3" s="233" t="str">
        <f>IFERROR(VLOOKUP(TEXT(BH4,"mm.yyyy"),HMG!$B$2:$C$1001, 2, FALSE),"")</f>
        <v/>
      </c>
      <c r="BI3" s="233" t="str">
        <f>IFERROR(VLOOKUP(TEXT(BI4,"mm.yyyy"),HMG!$B$2:$C$1001, 2, FALSE),"")</f>
        <v/>
      </c>
      <c r="BJ3" s="233" t="str">
        <f>IFERROR(VLOOKUP(TEXT(BJ4,"mm.yyyy"),HMG!$B$2:$C$1001, 2, FALSE),"")</f>
        <v/>
      </c>
      <c r="BK3" s="233" t="str">
        <f>IFERROR(VLOOKUP(TEXT(BK4,"mm.yyyy"),HMG!$B$2:$C$1001, 2, FALSE),"")</f>
        <v/>
      </c>
      <c r="BL3" s="233" t="str">
        <f>IFERROR(VLOOKUP(TEXT(BL4,"mm.yyyy"),HMG!$B$2:$C$1001, 2, FALSE),"")</f>
        <v/>
      </c>
      <c r="BM3" s="233" t="str">
        <f>IFERROR(VLOOKUP(TEXT(BM4,"mm.yyyy"),HMG!$B$2:$C$1001, 2, FALSE),"")</f>
        <v>zapis KS</v>
      </c>
      <c r="BN3" s="233" t="str">
        <f>IFERROR(VLOOKUP(TEXT(BN4,"mm.yyyy"),HMG!$B$2:$C$1001, 2, FALSE),"")</f>
        <v/>
      </c>
      <c r="BO3" s="233" t="str">
        <f>IFERROR(VLOOKUP(TEXT(BO4,"mm.yyyy"),HMG!$B$2:$C$1001, 2, FALSE),"")</f>
        <v/>
      </c>
      <c r="BP3" s="233" t="str">
        <f>IFERROR(VLOOKUP(TEXT(BP4,"mm.yyyy"),HMG!$B$2:$C$1001, 2, FALSE),"")</f>
        <v/>
      </c>
      <c r="BQ3" s="233" t="str">
        <f>IFERROR(VLOOKUP(TEXT(BQ4,"mm.yyyy"),HMG!$B$2:$C$1001, 2, FALSE),"")</f>
        <v/>
      </c>
      <c r="BR3" s="233" t="str">
        <f>IFERROR(VLOOKUP(TEXT(BR4,"mm.yyyy"),HMG!$B$2:$C$1001, 2, FALSE),"")</f>
        <v/>
      </c>
      <c r="BS3" s="233" t="str">
        <f>IFERROR(VLOOKUP(TEXT(BS4,"mm.yyyy"),HMG!$B$2:$C$1001, 2, FALSE),"")</f>
        <v/>
      </c>
      <c r="BT3" s="233" t="str">
        <f>IFERROR(VLOOKUP(TEXT(BT4,"mm.yyyy"),HMG!$B$2:$C$1001, 2, FALSE),"")</f>
        <v/>
      </c>
      <c r="BU3" s="233" t="str">
        <f>IFERROR(VLOOKUP(TEXT(BU4,"mm.yyyy"),HMG!$B$2:$C$1001, 2, FALSE),"")</f>
        <v/>
      </c>
      <c r="BV3" s="233" t="str">
        <f>IFERROR(VLOOKUP(TEXT(BV4,"mm.yyyy"),HMG!$B$2:$C$1001, 2, FALSE),"")</f>
        <v/>
      </c>
      <c r="BW3" s="233" t="str">
        <f>IFERROR(VLOOKUP(TEXT(BW4,"mm.yyyy"),HMG!$B$2:$C$1001, 2, FALSE),"")</f>
        <v/>
      </c>
      <c r="BX3" s="233" t="str">
        <f>IFERROR(VLOOKUP(TEXT(BX4,"mm.yyyy"),HMG!$B$2:$C$1001, 2, FALSE),"")</f>
        <v/>
      </c>
      <c r="BY3" s="559"/>
      <c r="BZ3" s="564"/>
      <c r="CA3" s="229"/>
      <c r="CB3" s="229"/>
      <c r="CC3" s="229"/>
      <c r="CD3" s="229"/>
      <c r="CE3" s="229"/>
      <c r="CF3" s="229"/>
      <c r="CG3" s="229"/>
      <c r="CH3" s="229"/>
      <c r="CI3" s="229"/>
      <c r="CJ3" s="229"/>
      <c r="CK3" s="229"/>
      <c r="CL3" s="229"/>
    </row>
    <row r="4" spans="2:90">
      <c r="B4" s="562"/>
      <c r="C4" s="563"/>
      <c r="D4" s="496"/>
      <c r="E4" s="234">
        <v>45292</v>
      </c>
      <c r="F4" s="234">
        <v>45323</v>
      </c>
      <c r="G4" s="234">
        <v>45352</v>
      </c>
      <c r="H4" s="234">
        <v>45383</v>
      </c>
      <c r="I4" s="234">
        <v>45413</v>
      </c>
      <c r="J4" s="234">
        <v>45444</v>
      </c>
      <c r="K4" s="234">
        <v>45474</v>
      </c>
      <c r="L4" s="234">
        <v>45505</v>
      </c>
      <c r="M4" s="234">
        <v>45536</v>
      </c>
      <c r="N4" s="234">
        <v>45566</v>
      </c>
      <c r="O4" s="234">
        <v>45597</v>
      </c>
      <c r="P4" s="234">
        <v>45627</v>
      </c>
      <c r="Q4" s="234">
        <v>45658</v>
      </c>
      <c r="R4" s="234">
        <v>45689</v>
      </c>
      <c r="S4" s="234">
        <v>45717</v>
      </c>
      <c r="T4" s="234">
        <v>45748</v>
      </c>
      <c r="U4" s="234">
        <v>45778</v>
      </c>
      <c r="V4" s="234">
        <v>45809</v>
      </c>
      <c r="W4" s="234">
        <v>45839</v>
      </c>
      <c r="X4" s="234">
        <v>45870</v>
      </c>
      <c r="Y4" s="234">
        <v>45901</v>
      </c>
      <c r="Z4" s="234">
        <v>45931</v>
      </c>
      <c r="AA4" s="234">
        <v>45962</v>
      </c>
      <c r="AB4" s="234">
        <v>45992</v>
      </c>
      <c r="AC4" s="234">
        <v>46023</v>
      </c>
      <c r="AD4" s="234">
        <v>46054</v>
      </c>
      <c r="AE4" s="234">
        <v>46082</v>
      </c>
      <c r="AF4" s="234">
        <v>46113</v>
      </c>
      <c r="AG4" s="234">
        <v>46143</v>
      </c>
      <c r="AH4" s="234">
        <v>46174</v>
      </c>
      <c r="AI4" s="234">
        <v>46204</v>
      </c>
      <c r="AJ4" s="234">
        <v>46235</v>
      </c>
      <c r="AK4" s="234">
        <v>46266</v>
      </c>
      <c r="AL4" s="234">
        <v>46296</v>
      </c>
      <c r="AM4" s="234">
        <v>46327</v>
      </c>
      <c r="AN4" s="234">
        <v>46357</v>
      </c>
      <c r="AO4" s="234">
        <v>46388</v>
      </c>
      <c r="AP4" s="234">
        <v>46419</v>
      </c>
      <c r="AQ4" s="234">
        <v>46447</v>
      </c>
      <c r="AR4" s="234">
        <v>46478</v>
      </c>
      <c r="AS4" s="234">
        <v>46508</v>
      </c>
      <c r="AT4" s="234">
        <v>46539</v>
      </c>
      <c r="AU4" s="234">
        <v>46569</v>
      </c>
      <c r="AV4" s="234">
        <v>46600</v>
      </c>
      <c r="AW4" s="234">
        <v>46631</v>
      </c>
      <c r="AX4" s="234">
        <v>46661</v>
      </c>
      <c r="AY4" s="234">
        <v>46692</v>
      </c>
      <c r="AZ4" s="234">
        <v>46722</v>
      </c>
      <c r="BA4" s="234">
        <v>46753</v>
      </c>
      <c r="BB4" s="234">
        <v>46784</v>
      </c>
      <c r="BC4" s="234">
        <v>46813</v>
      </c>
      <c r="BD4" s="234">
        <v>46844</v>
      </c>
      <c r="BE4" s="234">
        <v>46874</v>
      </c>
      <c r="BF4" s="234">
        <v>46905</v>
      </c>
      <c r="BG4" s="234">
        <v>46935</v>
      </c>
      <c r="BH4" s="234">
        <v>46966</v>
      </c>
      <c r="BI4" s="234">
        <v>46997</v>
      </c>
      <c r="BJ4" s="234">
        <v>47027</v>
      </c>
      <c r="BK4" s="234">
        <v>47058</v>
      </c>
      <c r="BL4" s="234">
        <v>47088</v>
      </c>
      <c r="BM4" s="234">
        <v>47119</v>
      </c>
      <c r="BN4" s="234">
        <v>47150</v>
      </c>
      <c r="BO4" s="234">
        <v>47178</v>
      </c>
      <c r="BP4" s="234">
        <v>47209</v>
      </c>
      <c r="BQ4" s="234">
        <v>47239</v>
      </c>
      <c r="BR4" s="234">
        <v>47270</v>
      </c>
      <c r="BS4" s="234">
        <v>47300</v>
      </c>
      <c r="BT4" s="234">
        <v>47331</v>
      </c>
      <c r="BU4" s="234">
        <v>47362</v>
      </c>
      <c r="BV4" s="234">
        <v>47392</v>
      </c>
      <c r="BW4" s="234">
        <v>47423</v>
      </c>
      <c r="BX4" s="234">
        <v>47453</v>
      </c>
      <c r="BY4" s="562"/>
      <c r="BZ4" s="563"/>
      <c r="CA4" s="229"/>
      <c r="CB4" s="229"/>
      <c r="CC4" s="229"/>
      <c r="CD4" s="229"/>
      <c r="CE4" s="229"/>
      <c r="CF4" s="229"/>
      <c r="CG4" s="229"/>
      <c r="CH4" s="229"/>
      <c r="CI4" s="229"/>
      <c r="CJ4" s="229"/>
      <c r="CK4" s="229"/>
      <c r="CL4" s="229"/>
    </row>
    <row r="5" spans="2:90">
      <c r="B5" s="546" t="s">
        <v>178</v>
      </c>
      <c r="C5" s="235" t="s">
        <v>286</v>
      </c>
      <c r="D5" s="236" t="s">
        <v>180</v>
      </c>
      <c r="E5" s="237"/>
      <c r="F5" s="237"/>
      <c r="G5" s="237"/>
      <c r="H5" s="237"/>
      <c r="I5" s="237">
        <v>87324</v>
      </c>
      <c r="J5" s="237">
        <v>100000</v>
      </c>
      <c r="K5" s="237">
        <f>-3400000</f>
        <v>-3400000</v>
      </c>
      <c r="L5" s="237">
        <f>150000+4850000+1000+23500</f>
        <v>5024500</v>
      </c>
      <c r="M5" s="237">
        <v>1000</v>
      </c>
      <c r="N5" s="237">
        <v>80000</v>
      </c>
      <c r="O5" s="237">
        <f>21000+10000</f>
        <v>31000</v>
      </c>
      <c r="P5" s="237"/>
      <c r="Q5" s="237"/>
      <c r="R5" s="237"/>
      <c r="S5" s="237"/>
      <c r="T5" s="237"/>
      <c r="U5" s="237">
        <f>178000+25000</f>
        <v>203000</v>
      </c>
      <c r="V5" s="237">
        <f>700000+125000</f>
        <v>825000</v>
      </c>
      <c r="W5" s="237">
        <f>2000000+950000</f>
        <v>2950000</v>
      </c>
      <c r="X5" s="237">
        <v>1500000</v>
      </c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7"/>
      <c r="BB5" s="237"/>
      <c r="BC5" s="237"/>
      <c r="BD5" s="237"/>
      <c r="BE5" s="237"/>
      <c r="BF5" s="237"/>
      <c r="BG5" s="237"/>
      <c r="BH5" s="237"/>
      <c r="BI5" s="237"/>
      <c r="BJ5" s="237"/>
      <c r="BK5" s="237"/>
      <c r="BL5" s="237"/>
      <c r="BM5" s="237"/>
      <c r="BN5" s="238"/>
      <c r="BO5" s="238"/>
      <c r="BP5" s="238"/>
      <c r="BQ5" s="238"/>
      <c r="BR5" s="238"/>
      <c r="BS5" s="238"/>
      <c r="BT5" s="238"/>
      <c r="BU5" s="238"/>
      <c r="BV5" s="238"/>
      <c r="BW5" s="238"/>
      <c r="BX5" s="239"/>
      <c r="BY5" s="240">
        <f t="shared" ref="BY5:BY16" si="0">SUM(E5:BX5)</f>
        <v>7401824</v>
      </c>
      <c r="BZ5" s="533">
        <f>SUM(BY5:BY8)</f>
        <v>30895832</v>
      </c>
      <c r="CA5" s="229"/>
      <c r="CB5" s="248"/>
      <c r="CC5" s="229"/>
      <c r="CD5" s="229"/>
      <c r="CE5" s="229"/>
      <c r="CF5" s="229"/>
      <c r="CG5" s="229"/>
      <c r="CH5" s="229"/>
      <c r="CI5" s="229"/>
      <c r="CJ5" s="229"/>
      <c r="CK5" s="229"/>
      <c r="CL5" s="229"/>
    </row>
    <row r="6" spans="2:90">
      <c r="B6" s="569"/>
      <c r="C6" s="241" t="s">
        <v>287</v>
      </c>
      <c r="D6" s="236" t="s">
        <v>180</v>
      </c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>
        <v>3994008</v>
      </c>
      <c r="Q6" s="237">
        <f t="shared" ref="Q6:R6" si="1">Q5</f>
        <v>0</v>
      </c>
      <c r="R6" s="237">
        <f t="shared" si="1"/>
        <v>0</v>
      </c>
      <c r="S6" s="237"/>
      <c r="T6" s="237">
        <v>500000</v>
      </c>
      <c r="U6" s="237"/>
      <c r="V6" s="237"/>
      <c r="W6" s="237">
        <v>19000000</v>
      </c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>
        <f t="shared" ref="AL6" si="2">AL5*4</f>
        <v>0</v>
      </c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  <c r="AZ6" s="237"/>
      <c r="BA6" s="237"/>
      <c r="BB6" s="237"/>
      <c r="BC6" s="237"/>
      <c r="BD6" s="237"/>
      <c r="BE6" s="237"/>
      <c r="BF6" s="237"/>
      <c r="BG6" s="237"/>
      <c r="BH6" s="237"/>
      <c r="BI6" s="237"/>
      <c r="BJ6" s="237"/>
      <c r="BK6" s="237"/>
      <c r="BL6" s="237"/>
      <c r="BM6" s="237"/>
      <c r="BN6" s="238"/>
      <c r="BO6" s="238"/>
      <c r="BP6" s="238"/>
      <c r="BQ6" s="238"/>
      <c r="BR6" s="238"/>
      <c r="BS6" s="238"/>
      <c r="BT6" s="238"/>
      <c r="BU6" s="238"/>
      <c r="BV6" s="238"/>
      <c r="BW6" s="238"/>
      <c r="BX6" s="235"/>
      <c r="BY6" s="240">
        <f t="shared" si="0"/>
        <v>23494008</v>
      </c>
      <c r="BZ6" s="564"/>
      <c r="CA6" s="504"/>
      <c r="CB6" s="248"/>
      <c r="CC6" s="229"/>
      <c r="CD6" s="229"/>
      <c r="CE6" s="229"/>
      <c r="CF6" s="229"/>
      <c r="CG6" s="229"/>
      <c r="CH6" s="229"/>
      <c r="CI6" s="229"/>
      <c r="CJ6" s="229"/>
      <c r="CK6" s="229"/>
      <c r="CL6" s="229"/>
    </row>
    <row r="7" spans="2:90">
      <c r="B7" s="569"/>
      <c r="C7" s="241" t="s">
        <v>182</v>
      </c>
      <c r="D7" s="236" t="s">
        <v>180</v>
      </c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  <c r="AZ7" s="237"/>
      <c r="BA7" s="237"/>
      <c r="BB7" s="237"/>
      <c r="BC7" s="237"/>
      <c r="BD7" s="237"/>
      <c r="BE7" s="237"/>
      <c r="BF7" s="237"/>
      <c r="BG7" s="237"/>
      <c r="BH7" s="237"/>
      <c r="BI7" s="237"/>
      <c r="BJ7" s="237"/>
      <c r="BK7" s="237"/>
      <c r="BL7" s="237"/>
      <c r="BM7" s="237"/>
      <c r="BN7" s="238"/>
      <c r="BO7" s="238"/>
      <c r="BP7" s="238"/>
      <c r="BQ7" s="238"/>
      <c r="BR7" s="238"/>
      <c r="BS7" s="238"/>
      <c r="BT7" s="238"/>
      <c r="BU7" s="238"/>
      <c r="BV7" s="238"/>
      <c r="BW7" s="238"/>
      <c r="BX7" s="235"/>
      <c r="BY7" s="240">
        <f t="shared" si="0"/>
        <v>0</v>
      </c>
      <c r="BZ7" s="564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</row>
    <row r="8" spans="2:90">
      <c r="B8" s="570"/>
      <c r="C8" s="241" t="s">
        <v>183</v>
      </c>
      <c r="D8" s="242" t="s">
        <v>180</v>
      </c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1"/>
      <c r="BY8" s="244">
        <f t="shared" si="0"/>
        <v>0</v>
      </c>
      <c r="BZ8" s="563"/>
      <c r="CA8" s="505"/>
      <c r="CB8" s="229"/>
      <c r="CC8" s="248"/>
      <c r="CD8" s="229"/>
      <c r="CE8" s="229"/>
      <c r="CF8" s="229"/>
      <c r="CG8" s="229"/>
      <c r="CH8" s="229"/>
      <c r="CI8" s="229"/>
      <c r="CJ8" s="229"/>
      <c r="CK8" s="229"/>
      <c r="CL8" s="229"/>
    </row>
    <row r="9" spans="2:90">
      <c r="B9" s="546" t="s">
        <v>184</v>
      </c>
      <c r="C9" s="239" t="s">
        <v>185</v>
      </c>
      <c r="D9" s="236" t="s">
        <v>180</v>
      </c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9"/>
      <c r="BY9" s="240">
        <f t="shared" si="0"/>
        <v>0</v>
      </c>
      <c r="BZ9" s="533">
        <f>SUM(BY9:BY11)</f>
        <v>57622000</v>
      </c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</row>
    <row r="10" spans="2:90">
      <c r="B10" s="569"/>
      <c r="C10" s="239" t="s">
        <v>186</v>
      </c>
      <c r="D10" s="236" t="s">
        <v>180</v>
      </c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>
        <f t="shared" ref="AD10:AL10" si="3">-AD62</f>
        <v>0</v>
      </c>
      <c r="AE10" s="237">
        <f t="shared" si="3"/>
        <v>46666.666666666664</v>
      </c>
      <c r="AF10" s="237">
        <f t="shared" si="3"/>
        <v>93333.333333333328</v>
      </c>
      <c r="AG10" s="237">
        <f t="shared" si="3"/>
        <v>140000</v>
      </c>
      <c r="AH10" s="237">
        <f t="shared" si="3"/>
        <v>173333.33333333334</v>
      </c>
      <c r="AI10" s="237">
        <f t="shared" si="3"/>
        <v>213333.33333333334</v>
      </c>
      <c r="AJ10" s="237">
        <f t="shared" si="3"/>
        <v>266666.66666666669</v>
      </c>
      <c r="AK10" s="237">
        <f t="shared" si="3"/>
        <v>315333.33333333331</v>
      </c>
      <c r="AL10" s="237">
        <f t="shared" si="3"/>
        <v>373333.33333333331</v>
      </c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8"/>
      <c r="BO10" s="238"/>
      <c r="BP10" s="238"/>
      <c r="BQ10" s="238"/>
      <c r="BR10" s="238"/>
      <c r="BS10" s="238"/>
      <c r="BT10" s="238"/>
      <c r="BU10" s="238"/>
      <c r="BV10" s="238"/>
      <c r="BW10" s="238"/>
      <c r="BX10" s="235"/>
      <c r="BY10" s="240">
        <f t="shared" si="0"/>
        <v>1622000</v>
      </c>
      <c r="BZ10" s="564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</row>
    <row r="11" spans="2:90">
      <c r="B11" s="568"/>
      <c r="C11" s="241" t="s">
        <v>187</v>
      </c>
      <c r="D11" s="242" t="s">
        <v>180</v>
      </c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>
        <v>7000000</v>
      </c>
      <c r="AF11" s="243">
        <v>7000000</v>
      </c>
      <c r="AG11" s="243">
        <v>7000000</v>
      </c>
      <c r="AH11" s="243">
        <v>5000000</v>
      </c>
      <c r="AI11" s="243">
        <v>6000000</v>
      </c>
      <c r="AJ11" s="243">
        <v>8000000</v>
      </c>
      <c r="AK11" s="243">
        <v>7300000</v>
      </c>
      <c r="AL11" s="243">
        <v>8700000</v>
      </c>
      <c r="AM11" s="243"/>
      <c r="AN11" s="243"/>
      <c r="AO11" s="243"/>
      <c r="AP11" s="243"/>
      <c r="AQ11" s="243"/>
      <c r="AR11" s="243"/>
      <c r="AS11" s="243"/>
      <c r="AT11" s="243"/>
      <c r="AU11" s="243"/>
      <c r="AV11" s="243"/>
      <c r="AW11" s="243"/>
      <c r="AX11" s="243"/>
      <c r="AY11" s="243"/>
      <c r="AZ11" s="243"/>
      <c r="BA11" s="243"/>
      <c r="BB11" s="243"/>
      <c r="BC11" s="243"/>
      <c r="BD11" s="243"/>
      <c r="BE11" s="243"/>
      <c r="BF11" s="243"/>
      <c r="BG11" s="243"/>
      <c r="BH11" s="243"/>
      <c r="BI11" s="243"/>
      <c r="BJ11" s="243"/>
      <c r="BK11" s="243"/>
      <c r="BL11" s="243"/>
      <c r="BM11" s="243"/>
      <c r="BN11" s="243"/>
      <c r="BO11" s="243"/>
      <c r="BP11" s="243"/>
      <c r="BQ11" s="243"/>
      <c r="BR11" s="243"/>
      <c r="BS11" s="243"/>
      <c r="BT11" s="243"/>
      <c r="BU11" s="243"/>
      <c r="BV11" s="243"/>
      <c r="BW11" s="243"/>
      <c r="BX11" s="241"/>
      <c r="BY11" s="244">
        <f t="shared" si="0"/>
        <v>56000000</v>
      </c>
      <c r="BZ11" s="571"/>
      <c r="CA11" s="246">
        <f>-AM75-AM76+BZ9</f>
        <v>84967008</v>
      </c>
      <c r="CB11" s="343"/>
      <c r="CC11" s="246"/>
      <c r="CD11" s="246"/>
      <c r="CE11" s="246"/>
      <c r="CF11" s="246"/>
      <c r="CG11" s="246"/>
      <c r="CH11" s="246"/>
      <c r="CI11" s="246"/>
      <c r="CJ11" s="246"/>
      <c r="CK11" s="246"/>
      <c r="CL11" s="246"/>
    </row>
    <row r="12" spans="2:90">
      <c r="B12" s="546" t="s">
        <v>188</v>
      </c>
      <c r="C12" s="235" t="s">
        <v>189</v>
      </c>
      <c r="D12" s="236" t="s">
        <v>180</v>
      </c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237"/>
      <c r="Y12" s="237"/>
      <c r="Z12" s="237"/>
      <c r="AA12" s="237"/>
      <c r="AB12" s="237"/>
      <c r="AC12" s="23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>
        <f>Businessplan_prodej!$J$18/12</f>
        <v>709678.25</v>
      </c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9"/>
      <c r="BY12" s="240">
        <f t="shared" si="0"/>
        <v>709678.25</v>
      </c>
      <c r="BZ12" s="533">
        <f>SUM(BY12:BY16)</f>
        <v>138274489.41199031</v>
      </c>
      <c r="CA12" s="248">
        <f>BZ9/CA11</f>
        <v>0.67816910770825312</v>
      </c>
      <c r="CB12" s="326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</row>
    <row r="13" spans="2:90">
      <c r="B13" s="569"/>
      <c r="C13" s="235" t="s">
        <v>190</v>
      </c>
      <c r="D13" s="236" t="s">
        <v>180</v>
      </c>
      <c r="E13" s="237"/>
      <c r="F13" s="237"/>
      <c r="G13" s="237"/>
      <c r="H13" s="237"/>
      <c r="I13" s="237"/>
      <c r="J13" s="237"/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>
        <f>Businessplan_prodej!$J$30+Businessplan_prodej!$N$26</f>
        <v>113098414.28571427</v>
      </c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9"/>
      <c r="BY13" s="240">
        <f t="shared" si="0"/>
        <v>113098414.28571427</v>
      </c>
      <c r="BZ13" s="564"/>
      <c r="CA13" s="248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</row>
    <row r="14" spans="2:90">
      <c r="B14" s="569"/>
      <c r="C14" s="235" t="s">
        <v>10</v>
      </c>
      <c r="D14" s="236" t="s">
        <v>191</v>
      </c>
      <c r="E14" s="237"/>
      <c r="F14" s="237"/>
      <c r="G14" s="237"/>
      <c r="H14" s="237"/>
      <c r="I14" s="237"/>
      <c r="J14" s="237"/>
      <c r="K14" s="237"/>
      <c r="L14" s="237"/>
      <c r="M14" s="237">
        <f t="shared" ref="M14:Q14" si="4">(+M24+M39)*0.21</f>
        <v>0</v>
      </c>
      <c r="N14" s="237">
        <f t="shared" si="4"/>
        <v>-13776</v>
      </c>
      <c r="O14" s="237">
        <f t="shared" si="4"/>
        <v>-5282.1074380165282</v>
      </c>
      <c r="P14" s="237">
        <f t="shared" si="4"/>
        <v>-6400.3140495867765</v>
      </c>
      <c r="Q14" s="237">
        <f t="shared" si="4"/>
        <v>-75505.586776859505</v>
      </c>
      <c r="R14" s="237">
        <f>(+R24+R39+R18)*0.21</f>
        <v>-37834.663519834707</v>
      </c>
      <c r="S14" s="237">
        <f t="shared" ref="S14:AM14" si="5">(+S24+S39)*0.21</f>
        <v>-36054.993354545455</v>
      </c>
      <c r="T14" s="237">
        <f t="shared" si="5"/>
        <v>-93217.737899999993</v>
      </c>
      <c r="U14" s="237">
        <f t="shared" si="5"/>
        <v>-38241.126329752064</v>
      </c>
      <c r="V14" s="237">
        <f t="shared" si="5"/>
        <v>-119210.35773471073</v>
      </c>
      <c r="W14" s="237">
        <f>(+W24+W39)*0.21</f>
        <v>-205253.085007438</v>
      </c>
      <c r="X14" s="237">
        <f t="shared" si="5"/>
        <v>-35259.473437190078</v>
      </c>
      <c r="Y14" s="237">
        <f t="shared" si="5"/>
        <v>-35137.638726446276</v>
      </c>
      <c r="Z14" s="237">
        <f>(+Z24+Z39)*0.21</f>
        <v>-34838.95277603306</v>
      </c>
      <c r="AA14" s="237">
        <f t="shared" si="5"/>
        <v>-37342.638726446276</v>
      </c>
      <c r="AB14" s="237">
        <f t="shared" si="5"/>
        <v>-98044.787486776855</v>
      </c>
      <c r="AC14" s="237">
        <f t="shared" si="5"/>
        <v>-92426.407066115687</v>
      </c>
      <c r="AD14" s="237">
        <f t="shared" si="5"/>
        <v>-245716.94656611572</v>
      </c>
      <c r="AE14" s="237">
        <f t="shared" si="5"/>
        <v>-96684.514066115706</v>
      </c>
      <c r="AF14" s="237">
        <f t="shared" si="5"/>
        <v>-111029.61406611571</v>
      </c>
      <c r="AG14" s="237">
        <f t="shared" si="5"/>
        <v>-115811.31406611571</v>
      </c>
      <c r="AH14" s="237">
        <f>(+AH24+AH39)*0.21-(SUM(K16:AG16)-SUM(K16:AG16)/1.21)</f>
        <v>-4271232.8611735525</v>
      </c>
      <c r="AI14" s="237">
        <f t="shared" si="5"/>
        <v>-72534.514066115706</v>
      </c>
      <c r="AJ14" s="237">
        <f t="shared" si="5"/>
        <v>-72534.514066115706</v>
      </c>
      <c r="AK14" s="237">
        <f t="shared" si="5"/>
        <v>-65621.377066115689</v>
      </c>
      <c r="AL14" s="237">
        <f t="shared" si="5"/>
        <v>-214653.8095661157</v>
      </c>
      <c r="AM14" s="237">
        <f t="shared" si="5"/>
        <v>-170833.73956611569</v>
      </c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8"/>
      <c r="BO14" s="238"/>
      <c r="BP14" s="238"/>
      <c r="BQ14" s="238"/>
      <c r="BR14" s="238"/>
      <c r="BS14" s="238"/>
      <c r="BT14" s="238"/>
      <c r="BU14" s="238"/>
      <c r="BV14" s="238"/>
      <c r="BW14" s="238"/>
      <c r="BX14" s="235"/>
      <c r="BY14" s="240">
        <f t="shared" si="0"/>
        <v>-6400479.0745983468</v>
      </c>
      <c r="BZ14" s="564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</row>
    <row r="15" spans="2:90">
      <c r="B15" s="569"/>
      <c r="C15" s="235" t="s">
        <v>10</v>
      </c>
      <c r="D15" s="236" t="s">
        <v>180</v>
      </c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>
        <f>-M14</f>
        <v>0</v>
      </c>
      <c r="P15" s="237"/>
      <c r="Q15" s="237"/>
      <c r="R15" s="237"/>
      <c r="S15" s="237"/>
      <c r="T15" s="237"/>
      <c r="U15" s="237"/>
      <c r="V15" s="237">
        <v>207261</v>
      </c>
      <c r="W15" s="237">
        <v>73452</v>
      </c>
      <c r="X15" s="237">
        <v>84651</v>
      </c>
      <c r="Y15" s="237">
        <v>334361</v>
      </c>
      <c r="Z15" s="237">
        <v>0</v>
      </c>
      <c r="AA15" s="237">
        <v>4582373</v>
      </c>
      <c r="AB15" s="237">
        <v>37343</v>
      </c>
      <c r="AC15" s="237">
        <f t="shared" ref="AC15:AK15" si="6">-AA14</f>
        <v>37342.638726446276</v>
      </c>
      <c r="AD15" s="237">
        <f t="shared" si="6"/>
        <v>98044.787486776855</v>
      </c>
      <c r="AE15" s="237">
        <f t="shared" si="6"/>
        <v>92426.407066115687</v>
      </c>
      <c r="AF15" s="237">
        <f t="shared" si="6"/>
        <v>245716.94656611572</v>
      </c>
      <c r="AG15" s="237">
        <f t="shared" si="6"/>
        <v>96684.514066115706</v>
      </c>
      <c r="AH15" s="237">
        <f t="shared" si="6"/>
        <v>111029.61406611571</v>
      </c>
      <c r="AI15" s="237">
        <f t="shared" si="6"/>
        <v>115811.31406611571</v>
      </c>
      <c r="AJ15" s="237">
        <f>-AH14-(SUM(K16:AG16)-SUM(K16:AG16)/1.21)</f>
        <v>70434.514066115953</v>
      </c>
      <c r="AK15" s="237">
        <f t="shared" si="6"/>
        <v>72534.514066115706</v>
      </c>
      <c r="AL15" s="237">
        <f>-AJ14-AK14-AL14</f>
        <v>352809.70069834706</v>
      </c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8"/>
      <c r="BO15" s="238"/>
      <c r="BP15" s="238"/>
      <c r="BQ15" s="238"/>
      <c r="BR15" s="238"/>
      <c r="BS15" s="238"/>
      <c r="BT15" s="238"/>
      <c r="BU15" s="238"/>
      <c r="BV15" s="238"/>
      <c r="BW15" s="238"/>
      <c r="BX15" s="235"/>
      <c r="BY15" s="240">
        <f t="shared" si="0"/>
        <v>6612275.9508743808</v>
      </c>
      <c r="BZ15" s="564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</row>
    <row r="16" spans="2:90">
      <c r="B16" s="568"/>
      <c r="C16" s="241" t="s">
        <v>192</v>
      </c>
      <c r="D16" s="242" t="s">
        <v>193</v>
      </c>
      <c r="E16" s="243"/>
      <c r="F16" s="243"/>
      <c r="G16" s="243"/>
      <c r="H16" s="243"/>
      <c r="I16" s="243"/>
      <c r="J16" s="243"/>
      <c r="K16" s="243">
        <f>3400000</f>
        <v>3400000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>
        <v>8000000</v>
      </c>
      <c r="AD16" s="243"/>
      <c r="AE16" s="243"/>
      <c r="AF16" s="243">
        <v>1500000</v>
      </c>
      <c r="AG16" s="243">
        <f>11526*2100-$K$16-AB16-SUM(AC16:AF16)</f>
        <v>11304600</v>
      </c>
      <c r="AH16" s="243"/>
      <c r="AI16" s="243"/>
      <c r="AJ16" s="243"/>
      <c r="AK16" s="243">
        <f>-Businessplan_prodej!$F$38</f>
        <v>50000</v>
      </c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1"/>
      <c r="BY16" s="244">
        <f t="shared" si="0"/>
        <v>24254600</v>
      </c>
      <c r="BZ16" s="571"/>
      <c r="CA16" s="229"/>
      <c r="CB16" s="229"/>
      <c r="CC16" s="229"/>
      <c r="CD16" s="229"/>
      <c r="CE16" s="229"/>
      <c r="CF16" s="229"/>
      <c r="CG16" s="229"/>
      <c r="CH16" s="229"/>
      <c r="CI16" s="229"/>
      <c r="CJ16" s="229"/>
      <c r="CK16" s="229"/>
      <c r="CL16" s="229"/>
    </row>
    <row r="17" spans="2:89" ht="15.95">
      <c r="B17" s="547" t="s">
        <v>194</v>
      </c>
      <c r="C17" s="563"/>
      <c r="D17" s="250"/>
      <c r="E17" s="251">
        <f t="shared" ref="E17:BX17" si="7">SUM(E5:E16)</f>
        <v>0</v>
      </c>
      <c r="F17" s="251">
        <f t="shared" si="7"/>
        <v>0</v>
      </c>
      <c r="G17" s="251">
        <f t="shared" si="7"/>
        <v>0</v>
      </c>
      <c r="H17" s="251">
        <f t="shared" si="7"/>
        <v>0</v>
      </c>
      <c r="I17" s="251">
        <f t="shared" si="7"/>
        <v>87324</v>
      </c>
      <c r="J17" s="251">
        <f t="shared" si="7"/>
        <v>100000</v>
      </c>
      <c r="K17" s="251">
        <f t="shared" si="7"/>
        <v>0</v>
      </c>
      <c r="L17" s="251">
        <f t="shared" si="7"/>
        <v>5024500</v>
      </c>
      <c r="M17" s="251">
        <f t="shared" si="7"/>
        <v>1000</v>
      </c>
      <c r="N17" s="251">
        <f t="shared" si="7"/>
        <v>66224</v>
      </c>
      <c r="O17" s="251">
        <f t="shared" si="7"/>
        <v>25717.89256198347</v>
      </c>
      <c r="P17" s="251">
        <f t="shared" si="7"/>
        <v>3987607.6859504133</v>
      </c>
      <c r="Q17" s="251">
        <f t="shared" si="7"/>
        <v>-75505.586776859505</v>
      </c>
      <c r="R17" s="251">
        <f t="shared" si="7"/>
        <v>-37834.663519834707</v>
      </c>
      <c r="S17" s="251">
        <f t="shared" si="7"/>
        <v>-36054.993354545455</v>
      </c>
      <c r="T17" s="251">
        <f t="shared" si="7"/>
        <v>406782.26209999999</v>
      </c>
      <c r="U17" s="251">
        <f t="shared" si="7"/>
        <v>164758.87367024794</v>
      </c>
      <c r="V17" s="251">
        <f t="shared" si="7"/>
        <v>913050.64226528932</v>
      </c>
      <c r="W17" s="251">
        <f t="shared" si="7"/>
        <v>21818198.914992563</v>
      </c>
      <c r="X17" s="251">
        <f t="shared" si="7"/>
        <v>1549391.5265628099</v>
      </c>
      <c r="Y17" s="251">
        <f t="shared" si="7"/>
        <v>299223.36127355375</v>
      </c>
      <c r="Z17" s="251">
        <f t="shared" si="7"/>
        <v>-34838.95277603306</v>
      </c>
      <c r="AA17" s="251">
        <f t="shared" si="7"/>
        <v>4545030.3612735542</v>
      </c>
      <c r="AB17" s="251">
        <f t="shared" si="7"/>
        <v>-60701.787486776855</v>
      </c>
      <c r="AC17" s="251">
        <f t="shared" si="7"/>
        <v>7944916.2316603307</v>
      </c>
      <c r="AD17" s="251">
        <f t="shared" si="7"/>
        <v>-147672.15907933886</v>
      </c>
      <c r="AE17" s="251">
        <f t="shared" si="7"/>
        <v>7042408.5596666671</v>
      </c>
      <c r="AF17" s="251">
        <f t="shared" si="7"/>
        <v>8728020.6658333335</v>
      </c>
      <c r="AG17" s="251">
        <f t="shared" si="7"/>
        <v>18425473.199999999</v>
      </c>
      <c r="AH17" s="251">
        <f t="shared" si="7"/>
        <v>1013130.0862258963</v>
      </c>
      <c r="AI17" s="251">
        <f t="shared" si="7"/>
        <v>6256610.1333333328</v>
      </c>
      <c r="AJ17" s="251">
        <f t="shared" si="7"/>
        <v>8264566.666666667</v>
      </c>
      <c r="AK17" s="251">
        <f t="shared" si="7"/>
        <v>7672246.4703333331</v>
      </c>
      <c r="AL17" s="251">
        <f t="shared" si="7"/>
        <v>9211489.2244655658</v>
      </c>
      <c r="AM17" s="251">
        <f t="shared" si="7"/>
        <v>113637258.79614815</v>
      </c>
      <c r="AN17" s="251">
        <f t="shared" si="7"/>
        <v>0</v>
      </c>
      <c r="AO17" s="251">
        <f t="shared" si="7"/>
        <v>0</v>
      </c>
      <c r="AP17" s="251">
        <f t="shared" si="7"/>
        <v>0</v>
      </c>
      <c r="AQ17" s="251">
        <f t="shared" si="7"/>
        <v>0</v>
      </c>
      <c r="AR17" s="251">
        <f t="shared" si="7"/>
        <v>0</v>
      </c>
      <c r="AS17" s="251">
        <f t="shared" si="7"/>
        <v>0</v>
      </c>
      <c r="AT17" s="251">
        <f t="shared" si="7"/>
        <v>0</v>
      </c>
      <c r="AU17" s="251">
        <f t="shared" si="7"/>
        <v>0</v>
      </c>
      <c r="AV17" s="251">
        <f t="shared" si="7"/>
        <v>0</v>
      </c>
      <c r="AW17" s="251">
        <f t="shared" si="7"/>
        <v>0</v>
      </c>
      <c r="AX17" s="251">
        <f t="shared" si="7"/>
        <v>0</v>
      </c>
      <c r="AY17" s="251">
        <f t="shared" si="7"/>
        <v>0</v>
      </c>
      <c r="AZ17" s="251">
        <f t="shared" si="7"/>
        <v>0</v>
      </c>
      <c r="BA17" s="251">
        <f t="shared" si="7"/>
        <v>0</v>
      </c>
      <c r="BB17" s="251">
        <f t="shared" si="7"/>
        <v>0</v>
      </c>
      <c r="BC17" s="251">
        <f t="shared" si="7"/>
        <v>0</v>
      </c>
      <c r="BD17" s="251">
        <f t="shared" si="7"/>
        <v>0</v>
      </c>
      <c r="BE17" s="251">
        <f t="shared" si="7"/>
        <v>0</v>
      </c>
      <c r="BF17" s="251">
        <f t="shared" si="7"/>
        <v>0</v>
      </c>
      <c r="BG17" s="251">
        <f t="shared" si="7"/>
        <v>0</v>
      </c>
      <c r="BH17" s="251">
        <f t="shared" si="7"/>
        <v>0</v>
      </c>
      <c r="BI17" s="251">
        <f t="shared" si="7"/>
        <v>0</v>
      </c>
      <c r="BJ17" s="251">
        <f t="shared" si="7"/>
        <v>0</v>
      </c>
      <c r="BK17" s="251">
        <f t="shared" si="7"/>
        <v>0</v>
      </c>
      <c r="BL17" s="251">
        <f t="shared" si="7"/>
        <v>0</v>
      </c>
      <c r="BM17" s="251">
        <f t="shared" si="7"/>
        <v>0</v>
      </c>
      <c r="BN17" s="251">
        <f t="shared" si="7"/>
        <v>0</v>
      </c>
      <c r="BO17" s="251">
        <f t="shared" si="7"/>
        <v>0</v>
      </c>
      <c r="BP17" s="251">
        <f t="shared" si="7"/>
        <v>0</v>
      </c>
      <c r="BQ17" s="251">
        <f t="shared" si="7"/>
        <v>0</v>
      </c>
      <c r="BR17" s="251">
        <f t="shared" si="7"/>
        <v>0</v>
      </c>
      <c r="BS17" s="251">
        <f t="shared" si="7"/>
        <v>0</v>
      </c>
      <c r="BT17" s="251">
        <f t="shared" si="7"/>
        <v>0</v>
      </c>
      <c r="BU17" s="251">
        <f t="shared" si="7"/>
        <v>0</v>
      </c>
      <c r="BV17" s="251">
        <f t="shared" si="7"/>
        <v>0</v>
      </c>
      <c r="BW17" s="251">
        <f t="shared" si="7"/>
        <v>0</v>
      </c>
      <c r="BX17" s="251">
        <f t="shared" si="7"/>
        <v>0</v>
      </c>
      <c r="BY17" s="535">
        <f>BZ5+BZ9+BZ12</f>
        <v>226792321.41199031</v>
      </c>
      <c r="BZ17" s="563"/>
      <c r="CA17" s="229"/>
      <c r="CB17" s="229"/>
      <c r="CC17" s="229"/>
      <c r="CD17" s="229"/>
      <c r="CE17" s="229"/>
      <c r="CF17" s="229"/>
      <c r="CG17" s="229"/>
      <c r="CH17" s="229"/>
      <c r="CI17" s="229"/>
      <c r="CJ17" s="229"/>
      <c r="CK17" s="229"/>
    </row>
    <row r="18" spans="2:89" ht="15.95">
      <c r="B18" s="544" t="s">
        <v>195</v>
      </c>
      <c r="C18" s="252" t="s">
        <v>196</v>
      </c>
      <c r="D18" s="253"/>
      <c r="E18" s="254">
        <f t="shared" ref="E18:BY18" si="8">SUM(E19:E23)</f>
        <v>0</v>
      </c>
      <c r="F18" s="254">
        <f t="shared" si="8"/>
        <v>0</v>
      </c>
      <c r="G18" s="254">
        <f t="shared" si="8"/>
        <v>0</v>
      </c>
      <c r="H18" s="254">
        <f t="shared" si="8"/>
        <v>0</v>
      </c>
      <c r="I18" s="254">
        <f t="shared" si="8"/>
        <v>0</v>
      </c>
      <c r="J18" s="254">
        <f t="shared" si="8"/>
        <v>-100000</v>
      </c>
      <c r="K18" s="254">
        <f t="shared" si="8"/>
        <v>0</v>
      </c>
      <c r="L18" s="254">
        <f t="shared" si="8"/>
        <v>-5000000</v>
      </c>
      <c r="M18" s="254">
        <f t="shared" si="8"/>
        <v>0</v>
      </c>
      <c r="N18" s="254">
        <f t="shared" si="8"/>
        <v>0</v>
      </c>
      <c r="O18" s="254">
        <f t="shared" si="8"/>
        <v>0</v>
      </c>
      <c r="P18" s="254">
        <f t="shared" si="8"/>
        <v>0</v>
      </c>
      <c r="Q18" s="254">
        <f t="shared" si="8"/>
        <v>0</v>
      </c>
      <c r="R18" s="254">
        <f t="shared" si="8"/>
        <v>0</v>
      </c>
      <c r="S18" s="254">
        <f t="shared" si="8"/>
        <v>-849420</v>
      </c>
      <c r="T18" s="254">
        <f t="shared" si="8"/>
        <v>0</v>
      </c>
      <c r="U18" s="254">
        <f t="shared" si="8"/>
        <v>0</v>
      </c>
      <c r="V18" s="254">
        <f t="shared" si="8"/>
        <v>0</v>
      </c>
      <c r="W18" s="254">
        <f t="shared" si="8"/>
        <v>-21000000</v>
      </c>
      <c r="X18" s="254">
        <f t="shared" si="8"/>
        <v>0</v>
      </c>
      <c r="Y18" s="254">
        <f t="shared" si="8"/>
        <v>0</v>
      </c>
      <c r="Z18" s="254">
        <f t="shared" si="8"/>
        <v>0</v>
      </c>
      <c r="AA18" s="254">
        <f t="shared" si="8"/>
        <v>0</v>
      </c>
      <c r="AB18" s="254">
        <f t="shared" si="8"/>
        <v>0</v>
      </c>
      <c r="AC18" s="254">
        <f t="shared" si="8"/>
        <v>0</v>
      </c>
      <c r="AD18" s="254">
        <f t="shared" si="8"/>
        <v>0</v>
      </c>
      <c r="AE18" s="254">
        <f t="shared" si="8"/>
        <v>0</v>
      </c>
      <c r="AF18" s="254">
        <f t="shared" si="8"/>
        <v>0</v>
      </c>
      <c r="AG18" s="254">
        <f t="shared" si="8"/>
        <v>0</v>
      </c>
      <c r="AH18" s="254">
        <f t="shared" si="8"/>
        <v>0</v>
      </c>
      <c r="AI18" s="254">
        <f t="shared" si="8"/>
        <v>0</v>
      </c>
      <c r="AJ18" s="254">
        <f t="shared" si="8"/>
        <v>0</v>
      </c>
      <c r="AK18" s="254">
        <f t="shared" si="8"/>
        <v>0</v>
      </c>
      <c r="AL18" s="254">
        <f t="shared" si="8"/>
        <v>0</v>
      </c>
      <c r="AM18" s="254">
        <f t="shared" si="8"/>
        <v>0</v>
      </c>
      <c r="AN18" s="254">
        <f t="shared" si="8"/>
        <v>0</v>
      </c>
      <c r="AO18" s="254">
        <f t="shared" si="8"/>
        <v>0</v>
      </c>
      <c r="AP18" s="254">
        <f t="shared" si="8"/>
        <v>0</v>
      </c>
      <c r="AQ18" s="254">
        <f t="shared" si="8"/>
        <v>0</v>
      </c>
      <c r="AR18" s="254">
        <f t="shared" si="8"/>
        <v>0</v>
      </c>
      <c r="AS18" s="254">
        <f t="shared" si="8"/>
        <v>0</v>
      </c>
      <c r="AT18" s="254">
        <f t="shared" si="8"/>
        <v>0</v>
      </c>
      <c r="AU18" s="254">
        <f t="shared" si="8"/>
        <v>0</v>
      </c>
      <c r="AV18" s="254">
        <f t="shared" si="8"/>
        <v>0</v>
      </c>
      <c r="AW18" s="254">
        <f t="shared" si="8"/>
        <v>0</v>
      </c>
      <c r="AX18" s="254">
        <f t="shared" si="8"/>
        <v>0</v>
      </c>
      <c r="AY18" s="254">
        <f t="shared" si="8"/>
        <v>0</v>
      </c>
      <c r="AZ18" s="254">
        <f t="shared" si="8"/>
        <v>0</v>
      </c>
      <c r="BA18" s="254">
        <f t="shared" si="8"/>
        <v>0</v>
      </c>
      <c r="BB18" s="254">
        <f t="shared" si="8"/>
        <v>0</v>
      </c>
      <c r="BC18" s="254">
        <f t="shared" si="8"/>
        <v>0</v>
      </c>
      <c r="BD18" s="254">
        <f t="shared" si="8"/>
        <v>0</v>
      </c>
      <c r="BE18" s="254">
        <f t="shared" si="8"/>
        <v>0</v>
      </c>
      <c r="BF18" s="254">
        <f t="shared" si="8"/>
        <v>0</v>
      </c>
      <c r="BG18" s="254">
        <f t="shared" si="8"/>
        <v>0</v>
      </c>
      <c r="BH18" s="254">
        <f t="shared" si="8"/>
        <v>0</v>
      </c>
      <c r="BI18" s="254">
        <f t="shared" si="8"/>
        <v>0</v>
      </c>
      <c r="BJ18" s="254">
        <f t="shared" si="8"/>
        <v>0</v>
      </c>
      <c r="BK18" s="254">
        <f t="shared" si="8"/>
        <v>0</v>
      </c>
      <c r="BL18" s="254">
        <f t="shared" si="8"/>
        <v>0</v>
      </c>
      <c r="BM18" s="254">
        <f t="shared" si="8"/>
        <v>0</v>
      </c>
      <c r="BN18" s="254">
        <f t="shared" si="8"/>
        <v>0</v>
      </c>
      <c r="BO18" s="254">
        <f t="shared" si="8"/>
        <v>0</v>
      </c>
      <c r="BP18" s="254">
        <f t="shared" si="8"/>
        <v>0</v>
      </c>
      <c r="BQ18" s="254">
        <f t="shared" si="8"/>
        <v>0</v>
      </c>
      <c r="BR18" s="254">
        <f t="shared" si="8"/>
        <v>0</v>
      </c>
      <c r="BS18" s="254">
        <f t="shared" si="8"/>
        <v>0</v>
      </c>
      <c r="BT18" s="254">
        <f t="shared" si="8"/>
        <v>0</v>
      </c>
      <c r="BU18" s="254">
        <f t="shared" si="8"/>
        <v>0</v>
      </c>
      <c r="BV18" s="254">
        <f t="shared" si="8"/>
        <v>0</v>
      </c>
      <c r="BW18" s="254">
        <f t="shared" si="8"/>
        <v>0</v>
      </c>
      <c r="BX18" s="254">
        <f t="shared" si="8"/>
        <v>0</v>
      </c>
      <c r="BY18" s="255">
        <f t="shared" si="8"/>
        <v>-26949420</v>
      </c>
      <c r="BZ18" s="534">
        <f>BY18+BY24+BY28+BY36+BY39+BY49+BY55+BY63+BY71</f>
        <v>-116166112.23387231</v>
      </c>
      <c r="CA18" s="229"/>
      <c r="CB18" s="229"/>
      <c r="CC18" s="229"/>
      <c r="CD18" s="229"/>
      <c r="CE18" s="229"/>
      <c r="CF18" s="229"/>
      <c r="CG18" s="229"/>
      <c r="CH18" s="229"/>
      <c r="CI18" s="229"/>
      <c r="CJ18" s="229"/>
      <c r="CK18" s="229"/>
    </row>
    <row r="19" spans="2:89" ht="15.75" customHeight="1" outlineLevel="1">
      <c r="B19" s="569"/>
      <c r="C19" s="257" t="s">
        <v>197</v>
      </c>
      <c r="D19" s="258" t="s">
        <v>191</v>
      </c>
      <c r="E19" s="259"/>
      <c r="F19" s="259"/>
      <c r="G19" s="259"/>
      <c r="H19" s="259"/>
      <c r="I19" s="259"/>
      <c r="J19" s="259"/>
      <c r="K19" s="259"/>
      <c r="L19" s="259">
        <f>-5000000</f>
        <v>-5000000</v>
      </c>
      <c r="M19" s="259"/>
      <c r="N19" s="259"/>
      <c r="O19" s="259"/>
      <c r="P19" s="259"/>
      <c r="Q19" s="259"/>
      <c r="R19" s="259"/>
      <c r="S19" s="259"/>
      <c r="T19" s="259"/>
      <c r="U19" s="259"/>
      <c r="V19" s="259"/>
      <c r="W19" s="259">
        <f>-26000000-$L$19</f>
        <v>-21000000</v>
      </c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  <c r="AP19" s="259"/>
      <c r="AQ19" s="259"/>
      <c r="AR19" s="259"/>
      <c r="AS19" s="259"/>
      <c r="AT19" s="259"/>
      <c r="AU19" s="259"/>
      <c r="AV19" s="259"/>
      <c r="AW19" s="259"/>
      <c r="AX19" s="259"/>
      <c r="AY19" s="259"/>
      <c r="AZ19" s="259"/>
      <c r="BA19" s="259"/>
      <c r="BB19" s="259"/>
      <c r="BC19" s="259"/>
      <c r="BD19" s="259"/>
      <c r="BE19" s="259"/>
      <c r="BF19" s="259"/>
      <c r="BG19" s="259"/>
      <c r="BH19" s="259"/>
      <c r="BI19" s="259"/>
      <c r="BJ19" s="259"/>
      <c r="BK19" s="259"/>
      <c r="BL19" s="259"/>
      <c r="BM19" s="259"/>
      <c r="BN19" s="259"/>
      <c r="BO19" s="259"/>
      <c r="BP19" s="259"/>
      <c r="BQ19" s="259"/>
      <c r="BR19" s="259"/>
      <c r="BS19" s="259"/>
      <c r="BT19" s="259"/>
      <c r="BU19" s="259"/>
      <c r="BV19" s="259"/>
      <c r="BW19" s="259"/>
      <c r="BX19" s="259"/>
      <c r="BY19" s="260">
        <f t="shared" ref="BY19:BY23" si="9">SUM(E19:BX19)</f>
        <v>-26000000</v>
      </c>
      <c r="BZ19" s="564"/>
      <c r="CA19" s="229"/>
      <c r="CB19" s="229"/>
      <c r="CC19" s="229"/>
      <c r="CD19" s="229"/>
      <c r="CE19" s="229"/>
      <c r="CF19" s="229"/>
      <c r="CG19" s="229"/>
      <c r="CH19" s="229"/>
      <c r="CI19" s="229"/>
      <c r="CJ19" s="229"/>
      <c r="CK19" s="229"/>
    </row>
    <row r="20" spans="2:89" ht="15.75" customHeight="1" outlineLevel="1">
      <c r="B20" s="569"/>
      <c r="C20" s="257" t="s">
        <v>198</v>
      </c>
      <c r="D20" s="258" t="s">
        <v>191</v>
      </c>
      <c r="E20" s="259"/>
      <c r="F20" s="259"/>
      <c r="G20" s="259"/>
      <c r="H20" s="259"/>
      <c r="I20" s="259"/>
      <c r="J20" s="259">
        <f>-Businessplan_prodej!F10</f>
        <v>-100000</v>
      </c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  <c r="AP20" s="259"/>
      <c r="AQ20" s="259"/>
      <c r="AR20" s="259"/>
      <c r="AS20" s="259"/>
      <c r="AT20" s="259"/>
      <c r="AU20" s="259"/>
      <c r="AV20" s="259"/>
      <c r="AW20" s="259"/>
      <c r="AX20" s="259"/>
      <c r="AY20" s="259"/>
      <c r="AZ20" s="259"/>
      <c r="BA20" s="259"/>
      <c r="BB20" s="259"/>
      <c r="BC20" s="259"/>
      <c r="BD20" s="259"/>
      <c r="BE20" s="259"/>
      <c r="BF20" s="259"/>
      <c r="BG20" s="259"/>
      <c r="BH20" s="259"/>
      <c r="BI20" s="259"/>
      <c r="BJ20" s="259"/>
      <c r="BK20" s="259"/>
      <c r="BL20" s="259"/>
      <c r="BM20" s="259"/>
      <c r="BN20" s="259"/>
      <c r="BO20" s="259"/>
      <c r="BP20" s="259"/>
      <c r="BQ20" s="259"/>
      <c r="BR20" s="259"/>
      <c r="BS20" s="259"/>
      <c r="BT20" s="259"/>
      <c r="BU20" s="259"/>
      <c r="BV20" s="259"/>
      <c r="BW20" s="259"/>
      <c r="BX20" s="259"/>
      <c r="BY20" s="260">
        <f t="shared" si="9"/>
        <v>-100000</v>
      </c>
      <c r="BZ20" s="564"/>
      <c r="CA20" s="229"/>
      <c r="CB20" s="229"/>
      <c r="CC20" s="229"/>
      <c r="CD20" s="229"/>
      <c r="CE20" s="229"/>
      <c r="CF20" s="229"/>
      <c r="CG20" s="229"/>
      <c r="CH20" s="229"/>
      <c r="CI20" s="229"/>
      <c r="CJ20" s="229"/>
      <c r="CK20" s="229"/>
    </row>
    <row r="21" spans="2:89" ht="15.75" customHeight="1" outlineLevel="1">
      <c r="B21" s="569"/>
      <c r="C21" s="257" t="s">
        <v>199</v>
      </c>
      <c r="D21" s="258" t="s">
        <v>191</v>
      </c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>
        <f>-252000*1.21</f>
        <v>-304920</v>
      </c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60">
        <f t="shared" si="9"/>
        <v>-304920</v>
      </c>
      <c r="BZ21" s="564"/>
      <c r="CA21" s="229"/>
      <c r="CB21" s="229"/>
      <c r="CC21" s="229"/>
      <c r="CD21" s="229"/>
      <c r="CE21" s="229"/>
      <c r="CF21" s="229"/>
      <c r="CG21" s="229"/>
      <c r="CH21" s="229"/>
      <c r="CI21" s="229"/>
      <c r="CJ21" s="229"/>
      <c r="CK21" s="229"/>
    </row>
    <row r="22" spans="2:89" ht="15.75" customHeight="1" outlineLevel="1">
      <c r="B22" s="569"/>
      <c r="C22" s="257" t="s">
        <v>200</v>
      </c>
      <c r="D22" s="258" t="s">
        <v>191</v>
      </c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>
        <f>-450000*1.21</f>
        <v>-544500</v>
      </c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59"/>
      <c r="BC22" s="259"/>
      <c r="BD22" s="259"/>
      <c r="BE22" s="259"/>
      <c r="BF22" s="259"/>
      <c r="BG22" s="259"/>
      <c r="BH22" s="259"/>
      <c r="BI22" s="259"/>
      <c r="BJ22" s="259"/>
      <c r="BK22" s="259"/>
      <c r="BL22" s="259"/>
      <c r="BM22" s="259"/>
      <c r="BN22" s="259"/>
      <c r="BO22" s="259"/>
      <c r="BP22" s="259"/>
      <c r="BQ22" s="259"/>
      <c r="BR22" s="259"/>
      <c r="BS22" s="259"/>
      <c r="BT22" s="259"/>
      <c r="BU22" s="259"/>
      <c r="BV22" s="259"/>
      <c r="BW22" s="259"/>
      <c r="BX22" s="259"/>
      <c r="BY22" s="260">
        <f t="shared" si="9"/>
        <v>-544500</v>
      </c>
      <c r="BZ22" s="564"/>
      <c r="CA22" s="229"/>
      <c r="CB22" s="229"/>
      <c r="CC22" s="229"/>
      <c r="CD22" s="229"/>
      <c r="CE22" s="229"/>
      <c r="CF22" s="229"/>
      <c r="CG22" s="229"/>
      <c r="CH22" s="229"/>
      <c r="CI22" s="229"/>
      <c r="CJ22" s="229"/>
      <c r="CK22" s="229"/>
    </row>
    <row r="23" spans="2:89" ht="15.75" customHeight="1" outlineLevel="1">
      <c r="B23" s="569"/>
      <c r="C23" s="257" t="s">
        <v>201</v>
      </c>
      <c r="D23" s="261" t="s">
        <v>191</v>
      </c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  <c r="AP23" s="259"/>
      <c r="AQ23" s="259"/>
      <c r="AR23" s="259"/>
      <c r="AS23" s="259"/>
      <c r="AT23" s="259"/>
      <c r="AU23" s="259"/>
      <c r="AV23" s="259"/>
      <c r="AW23" s="259"/>
      <c r="AX23" s="259"/>
      <c r="AY23" s="259"/>
      <c r="AZ23" s="259"/>
      <c r="BA23" s="259"/>
      <c r="BB23" s="259"/>
      <c r="BC23" s="259"/>
      <c r="BD23" s="259"/>
      <c r="BE23" s="259"/>
      <c r="BF23" s="259"/>
      <c r="BG23" s="259"/>
      <c r="BH23" s="259"/>
      <c r="BI23" s="259"/>
      <c r="BJ23" s="259"/>
      <c r="BK23" s="259"/>
      <c r="BL23" s="259"/>
      <c r="BM23" s="259"/>
      <c r="BN23" s="259"/>
      <c r="BO23" s="259"/>
      <c r="BP23" s="259"/>
      <c r="BQ23" s="259"/>
      <c r="BR23" s="259"/>
      <c r="BS23" s="259"/>
      <c r="BT23" s="259"/>
      <c r="BU23" s="259"/>
      <c r="BV23" s="259"/>
      <c r="BW23" s="259"/>
      <c r="BX23" s="259"/>
      <c r="BY23" s="260">
        <f t="shared" si="9"/>
        <v>0</v>
      </c>
      <c r="BZ23" s="564"/>
      <c r="CA23" s="229"/>
      <c r="CB23" s="229"/>
      <c r="CC23" s="229"/>
      <c r="CD23" s="229"/>
      <c r="CE23" s="229"/>
      <c r="CF23" s="229"/>
      <c r="CG23" s="229"/>
      <c r="CH23" s="229"/>
      <c r="CI23" s="229"/>
      <c r="CJ23" s="229"/>
      <c r="CK23" s="229"/>
    </row>
    <row r="24" spans="2:89" ht="15.95">
      <c r="B24" s="569"/>
      <c r="C24" s="252" t="s">
        <v>202</v>
      </c>
      <c r="D24" s="253"/>
      <c r="E24" s="254">
        <f t="shared" ref="E24:BY24" si="10">SUM(E25:E27)</f>
        <v>0</v>
      </c>
      <c r="F24" s="254">
        <f t="shared" si="10"/>
        <v>0</v>
      </c>
      <c r="G24" s="254">
        <f t="shared" si="10"/>
        <v>0</v>
      </c>
      <c r="H24" s="254">
        <f t="shared" si="10"/>
        <v>0</v>
      </c>
      <c r="I24" s="254">
        <f t="shared" si="10"/>
        <v>0</v>
      </c>
      <c r="J24" s="254">
        <f t="shared" si="10"/>
        <v>0</v>
      </c>
      <c r="K24" s="254">
        <f t="shared" si="10"/>
        <v>0</v>
      </c>
      <c r="L24" s="254">
        <f t="shared" si="10"/>
        <v>0</v>
      </c>
      <c r="M24" s="254">
        <f t="shared" si="10"/>
        <v>0</v>
      </c>
      <c r="N24" s="254">
        <f t="shared" si="10"/>
        <v>0</v>
      </c>
      <c r="O24" s="254">
        <f t="shared" si="10"/>
        <v>0</v>
      </c>
      <c r="P24" s="254">
        <f t="shared" si="10"/>
        <v>0</v>
      </c>
      <c r="Q24" s="254">
        <f t="shared" si="10"/>
        <v>0</v>
      </c>
      <c r="R24" s="254">
        <f t="shared" si="10"/>
        <v>0</v>
      </c>
      <c r="S24" s="254">
        <f t="shared" si="10"/>
        <v>0</v>
      </c>
      <c r="T24" s="254">
        <f t="shared" si="10"/>
        <v>-280000</v>
      </c>
      <c r="U24" s="254">
        <f t="shared" si="10"/>
        <v>0</v>
      </c>
      <c r="V24" s="254">
        <f t="shared" si="10"/>
        <v>-400000</v>
      </c>
      <c r="W24" s="254">
        <f t="shared" si="10"/>
        <v>-810000</v>
      </c>
      <c r="X24" s="254">
        <f t="shared" si="10"/>
        <v>0</v>
      </c>
      <c r="Y24" s="254">
        <f t="shared" si="10"/>
        <v>0</v>
      </c>
      <c r="Z24" s="254">
        <f t="shared" si="10"/>
        <v>0</v>
      </c>
      <c r="AA24" s="254">
        <f t="shared" si="10"/>
        <v>0</v>
      </c>
      <c r="AB24" s="254">
        <f t="shared" si="10"/>
        <v>-300000</v>
      </c>
      <c r="AC24" s="254">
        <f t="shared" si="10"/>
        <v>-180000</v>
      </c>
      <c r="AD24" s="254">
        <f t="shared" si="10"/>
        <v>-125000</v>
      </c>
      <c r="AE24" s="254">
        <f t="shared" si="10"/>
        <v>-125000</v>
      </c>
      <c r="AF24" s="254">
        <f t="shared" si="10"/>
        <v>-125000</v>
      </c>
      <c r="AG24" s="254">
        <f t="shared" si="10"/>
        <v>-125000</v>
      </c>
      <c r="AH24" s="254">
        <f t="shared" si="10"/>
        <v>0</v>
      </c>
      <c r="AI24" s="254">
        <f t="shared" si="10"/>
        <v>0</v>
      </c>
      <c r="AJ24" s="254">
        <f t="shared" si="10"/>
        <v>0</v>
      </c>
      <c r="AK24" s="254">
        <f t="shared" si="10"/>
        <v>0</v>
      </c>
      <c r="AL24" s="254">
        <f t="shared" si="10"/>
        <v>0</v>
      </c>
      <c r="AM24" s="254">
        <f t="shared" si="10"/>
        <v>0</v>
      </c>
      <c r="AN24" s="254">
        <f t="shared" si="10"/>
        <v>0</v>
      </c>
      <c r="AO24" s="254">
        <f t="shared" si="10"/>
        <v>0</v>
      </c>
      <c r="AP24" s="254">
        <f t="shared" si="10"/>
        <v>0</v>
      </c>
      <c r="AQ24" s="254">
        <f t="shared" si="10"/>
        <v>0</v>
      </c>
      <c r="AR24" s="254">
        <f t="shared" si="10"/>
        <v>0</v>
      </c>
      <c r="AS24" s="254">
        <f t="shared" si="10"/>
        <v>0</v>
      </c>
      <c r="AT24" s="254">
        <f t="shared" si="10"/>
        <v>0</v>
      </c>
      <c r="AU24" s="254">
        <f t="shared" si="10"/>
        <v>0</v>
      </c>
      <c r="AV24" s="254">
        <f t="shared" si="10"/>
        <v>0</v>
      </c>
      <c r="AW24" s="254">
        <f t="shared" si="10"/>
        <v>0</v>
      </c>
      <c r="AX24" s="254">
        <f t="shared" si="10"/>
        <v>0</v>
      </c>
      <c r="AY24" s="254">
        <f t="shared" si="10"/>
        <v>0</v>
      </c>
      <c r="AZ24" s="254">
        <f t="shared" si="10"/>
        <v>0</v>
      </c>
      <c r="BA24" s="254">
        <f t="shared" si="10"/>
        <v>0</v>
      </c>
      <c r="BB24" s="254">
        <f t="shared" si="10"/>
        <v>0</v>
      </c>
      <c r="BC24" s="254">
        <f t="shared" si="10"/>
        <v>0</v>
      </c>
      <c r="BD24" s="254">
        <f t="shared" si="10"/>
        <v>0</v>
      </c>
      <c r="BE24" s="254">
        <f t="shared" si="10"/>
        <v>0</v>
      </c>
      <c r="BF24" s="254">
        <f t="shared" si="10"/>
        <v>0</v>
      </c>
      <c r="BG24" s="254">
        <f t="shared" si="10"/>
        <v>0</v>
      </c>
      <c r="BH24" s="254">
        <f t="shared" si="10"/>
        <v>0</v>
      </c>
      <c r="BI24" s="254">
        <f t="shared" si="10"/>
        <v>0</v>
      </c>
      <c r="BJ24" s="254">
        <f t="shared" si="10"/>
        <v>0</v>
      </c>
      <c r="BK24" s="254">
        <f t="shared" si="10"/>
        <v>0</v>
      </c>
      <c r="BL24" s="254">
        <f t="shared" si="10"/>
        <v>0</v>
      </c>
      <c r="BM24" s="254">
        <f t="shared" si="10"/>
        <v>0</v>
      </c>
      <c r="BN24" s="254">
        <f t="shared" si="10"/>
        <v>0</v>
      </c>
      <c r="BO24" s="254">
        <f t="shared" si="10"/>
        <v>0</v>
      </c>
      <c r="BP24" s="254">
        <f t="shared" si="10"/>
        <v>0</v>
      </c>
      <c r="BQ24" s="254">
        <f t="shared" si="10"/>
        <v>0</v>
      </c>
      <c r="BR24" s="254">
        <f t="shared" si="10"/>
        <v>0</v>
      </c>
      <c r="BS24" s="254">
        <f t="shared" si="10"/>
        <v>0</v>
      </c>
      <c r="BT24" s="254">
        <f t="shared" si="10"/>
        <v>0</v>
      </c>
      <c r="BU24" s="254">
        <f t="shared" si="10"/>
        <v>0</v>
      </c>
      <c r="BV24" s="254">
        <f t="shared" si="10"/>
        <v>0</v>
      </c>
      <c r="BW24" s="254">
        <f t="shared" si="10"/>
        <v>0</v>
      </c>
      <c r="BX24" s="254">
        <f t="shared" si="10"/>
        <v>0</v>
      </c>
      <c r="BY24" s="255">
        <f t="shared" si="10"/>
        <v>-2470000</v>
      </c>
      <c r="BZ24" s="564"/>
      <c r="CA24" s="229"/>
      <c r="CB24" s="229"/>
      <c r="CC24" s="229"/>
      <c r="CD24" s="229"/>
      <c r="CE24" s="229"/>
      <c r="CF24" s="229"/>
      <c r="CG24" s="229"/>
      <c r="CH24" s="229"/>
      <c r="CI24" s="229"/>
      <c r="CJ24" s="229"/>
      <c r="CK24" s="229"/>
    </row>
    <row r="25" spans="2:89" ht="15.75" customHeight="1" outlineLevel="1">
      <c r="B25" s="569"/>
      <c r="C25" s="257" t="s">
        <v>203</v>
      </c>
      <c r="D25" s="261" t="s">
        <v>191</v>
      </c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>
        <f>-280000</f>
        <v>-280000</v>
      </c>
      <c r="U25" s="259"/>
      <c r="V25" s="259">
        <f>-400000</f>
        <v>-400000</v>
      </c>
      <c r="W25" s="259">
        <f>-810000</f>
        <v>-810000</v>
      </c>
      <c r="X25" s="259"/>
      <c r="Y25" s="259"/>
      <c r="Z25" s="259"/>
      <c r="AA25" s="259"/>
      <c r="AB25" s="259">
        <f>-300000</f>
        <v>-300000</v>
      </c>
      <c r="AC25" s="259">
        <f>-180000</f>
        <v>-180000</v>
      </c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4">
        <f t="shared" ref="BY25:BY27" si="11">SUM(E25:BX25)</f>
        <v>-1970000</v>
      </c>
      <c r="BZ25" s="564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</row>
    <row r="26" spans="2:89" ht="15.75" customHeight="1" outlineLevel="1">
      <c r="B26" s="569"/>
      <c r="C26" s="257" t="str">
        <f>Businessplan_prodej!B21</f>
        <v>ZSPD</v>
      </c>
      <c r="D26" s="258" t="s">
        <v>191</v>
      </c>
      <c r="E26" s="259"/>
      <c r="F26" s="259"/>
      <c r="G26" s="259"/>
      <c r="H26" s="259"/>
      <c r="I26" s="259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9"/>
      <c r="AA26" s="259"/>
      <c r="AB26" s="259"/>
      <c r="AC26" s="259"/>
      <c r="AD26" s="259">
        <f>-Businessplan_prodej!$F$21/4</f>
        <v>-125000</v>
      </c>
      <c r="AE26" s="259">
        <f>-Businessplan_prodej!$F$21/4</f>
        <v>-125000</v>
      </c>
      <c r="AF26" s="259">
        <f>-Businessplan_prodej!$F$21/4</f>
        <v>-125000</v>
      </c>
      <c r="AG26" s="259">
        <f>-Businessplan_prodej!$F$21/4</f>
        <v>-125000</v>
      </c>
      <c r="AH26" s="259"/>
      <c r="AI26" s="259"/>
      <c r="AJ26" s="259"/>
      <c r="AK26" s="259"/>
      <c r="AL26" s="259"/>
      <c r="AM26" s="259"/>
      <c r="AN26" s="259"/>
      <c r="AO26" s="259"/>
      <c r="AP26" s="259"/>
      <c r="AQ26" s="259"/>
      <c r="AR26" s="259"/>
      <c r="AS26" s="259"/>
      <c r="AT26" s="259"/>
      <c r="AU26" s="259"/>
      <c r="AV26" s="259"/>
      <c r="AW26" s="259"/>
      <c r="AX26" s="259"/>
      <c r="AY26" s="259"/>
      <c r="AZ26" s="259"/>
      <c r="BA26" s="259"/>
      <c r="BB26" s="259"/>
      <c r="BC26" s="259"/>
      <c r="BD26" s="259"/>
      <c r="BE26" s="259"/>
      <c r="BF26" s="259"/>
      <c r="BG26" s="259"/>
      <c r="BH26" s="259"/>
      <c r="BI26" s="259"/>
      <c r="BJ26" s="259"/>
      <c r="BK26" s="259"/>
      <c r="BL26" s="259"/>
      <c r="BM26" s="259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7">
        <f t="shared" si="11"/>
        <v>-500000</v>
      </c>
      <c r="BZ26" s="564"/>
      <c r="CA26" s="248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</row>
    <row r="27" spans="2:89" ht="15.75" customHeight="1" outlineLevel="1">
      <c r="B27" s="569"/>
      <c r="C27" s="257" t="s">
        <v>204</v>
      </c>
      <c r="D27" s="261" t="s">
        <v>191</v>
      </c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9"/>
      <c r="AL27" s="259"/>
      <c r="AM27" s="259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F27" s="259"/>
      <c r="BG27" s="259"/>
      <c r="BH27" s="259"/>
      <c r="BI27" s="259"/>
      <c r="BJ27" s="259"/>
      <c r="BK27" s="259"/>
      <c r="BL27" s="259"/>
      <c r="BM27" s="259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4">
        <f t="shared" si="11"/>
        <v>0</v>
      </c>
      <c r="BZ27" s="564"/>
      <c r="CA27" s="248"/>
      <c r="CB27" s="229"/>
      <c r="CC27" s="229"/>
      <c r="CD27" s="229"/>
      <c r="CE27" s="229"/>
      <c r="CF27" s="229"/>
      <c r="CG27" s="229"/>
      <c r="CH27" s="229"/>
      <c r="CI27" s="229"/>
      <c r="CJ27" s="229"/>
      <c r="CK27" s="229"/>
    </row>
    <row r="28" spans="2:89" ht="15.95">
      <c r="B28" s="569"/>
      <c r="C28" s="252" t="s">
        <v>205</v>
      </c>
      <c r="D28" s="253"/>
      <c r="E28" s="254">
        <f t="shared" ref="E28:BX28" si="12">SUM(E29:E35)</f>
        <v>0</v>
      </c>
      <c r="F28" s="254">
        <f t="shared" si="12"/>
        <v>0</v>
      </c>
      <c r="G28" s="254">
        <f t="shared" si="12"/>
        <v>0</v>
      </c>
      <c r="H28" s="254">
        <f t="shared" si="12"/>
        <v>0</v>
      </c>
      <c r="I28" s="254">
        <f t="shared" si="12"/>
        <v>0</v>
      </c>
      <c r="J28" s="254">
        <f t="shared" si="12"/>
        <v>0</v>
      </c>
      <c r="K28" s="254">
        <f t="shared" si="12"/>
        <v>0</v>
      </c>
      <c r="L28" s="254">
        <f t="shared" si="12"/>
        <v>0</v>
      </c>
      <c r="M28" s="254">
        <f t="shared" si="12"/>
        <v>0</v>
      </c>
      <c r="N28" s="254">
        <f t="shared" si="12"/>
        <v>0</v>
      </c>
      <c r="O28" s="254">
        <f t="shared" si="12"/>
        <v>0</v>
      </c>
      <c r="P28" s="254">
        <f t="shared" si="12"/>
        <v>0</v>
      </c>
      <c r="Q28" s="254">
        <f t="shared" si="12"/>
        <v>0</v>
      </c>
      <c r="R28" s="254">
        <f t="shared" si="12"/>
        <v>0</v>
      </c>
      <c r="S28" s="254">
        <f t="shared" si="12"/>
        <v>0</v>
      </c>
      <c r="T28" s="254">
        <f t="shared" si="12"/>
        <v>-102795</v>
      </c>
      <c r="U28" s="254">
        <f t="shared" si="12"/>
        <v>0</v>
      </c>
      <c r="V28" s="254">
        <f t="shared" si="12"/>
        <v>-134750</v>
      </c>
      <c r="W28" s="254">
        <f t="shared" si="12"/>
        <v>0</v>
      </c>
      <c r="X28" s="254">
        <f t="shared" si="12"/>
        <v>0</v>
      </c>
      <c r="Y28" s="254">
        <f t="shared" si="12"/>
        <v>0</v>
      </c>
      <c r="Z28" s="254">
        <f t="shared" si="12"/>
        <v>0</v>
      </c>
      <c r="AA28" s="254">
        <f t="shared" si="12"/>
        <v>0</v>
      </c>
      <c r="AB28" s="254">
        <f t="shared" si="12"/>
        <v>0</v>
      </c>
      <c r="AC28" s="254">
        <f t="shared" si="12"/>
        <v>0</v>
      </c>
      <c r="AD28" s="254">
        <f t="shared" si="12"/>
        <v>-6969182.6977777779</v>
      </c>
      <c r="AE28" s="254">
        <f t="shared" si="12"/>
        <v>-6921977.6977777779</v>
      </c>
      <c r="AF28" s="254">
        <f t="shared" si="12"/>
        <v>-6969182.6977777779</v>
      </c>
      <c r="AG28" s="254">
        <f t="shared" si="12"/>
        <v>-6819182.6977777779</v>
      </c>
      <c r="AH28" s="254">
        <f t="shared" si="12"/>
        <v>-6819182.6977777779</v>
      </c>
      <c r="AI28" s="254">
        <f t="shared" si="12"/>
        <v>-6953932.6977777779</v>
      </c>
      <c r="AJ28" s="254">
        <f t="shared" si="12"/>
        <v>-6819182.6977777779</v>
      </c>
      <c r="AK28" s="254">
        <f t="shared" si="12"/>
        <v>-6044092.6977777779</v>
      </c>
      <c r="AL28" s="254">
        <f t="shared" si="12"/>
        <v>-6769182.6977777779</v>
      </c>
      <c r="AM28" s="254">
        <f t="shared" si="12"/>
        <v>0</v>
      </c>
      <c r="AN28" s="254">
        <f t="shared" si="12"/>
        <v>0</v>
      </c>
      <c r="AO28" s="254">
        <f t="shared" si="12"/>
        <v>0</v>
      </c>
      <c r="AP28" s="254">
        <f t="shared" si="12"/>
        <v>0</v>
      </c>
      <c r="AQ28" s="254">
        <f t="shared" si="12"/>
        <v>0</v>
      </c>
      <c r="AR28" s="254">
        <f t="shared" si="12"/>
        <v>0</v>
      </c>
      <c r="AS28" s="254">
        <f t="shared" si="12"/>
        <v>0</v>
      </c>
      <c r="AT28" s="254">
        <f t="shared" si="12"/>
        <v>0</v>
      </c>
      <c r="AU28" s="254">
        <f t="shared" si="12"/>
        <v>0</v>
      </c>
      <c r="AV28" s="254">
        <f t="shared" si="12"/>
        <v>0</v>
      </c>
      <c r="AW28" s="254">
        <f t="shared" si="12"/>
        <v>0</v>
      </c>
      <c r="AX28" s="254">
        <f t="shared" si="12"/>
        <v>0</v>
      </c>
      <c r="AY28" s="254">
        <f t="shared" si="12"/>
        <v>0</v>
      </c>
      <c r="AZ28" s="254">
        <f t="shared" si="12"/>
        <v>0</v>
      </c>
      <c r="BA28" s="254">
        <f t="shared" si="12"/>
        <v>0</v>
      </c>
      <c r="BB28" s="254">
        <f t="shared" si="12"/>
        <v>0</v>
      </c>
      <c r="BC28" s="254">
        <f t="shared" si="12"/>
        <v>0</v>
      </c>
      <c r="BD28" s="254">
        <f t="shared" si="12"/>
        <v>0</v>
      </c>
      <c r="BE28" s="254">
        <f t="shared" si="12"/>
        <v>0</v>
      </c>
      <c r="BF28" s="254">
        <f t="shared" si="12"/>
        <v>0</v>
      </c>
      <c r="BG28" s="254">
        <f t="shared" si="12"/>
        <v>0</v>
      </c>
      <c r="BH28" s="254">
        <f t="shared" si="12"/>
        <v>0</v>
      </c>
      <c r="BI28" s="254">
        <f t="shared" si="12"/>
        <v>0</v>
      </c>
      <c r="BJ28" s="254">
        <f t="shared" si="12"/>
        <v>0</v>
      </c>
      <c r="BK28" s="254">
        <f t="shared" si="12"/>
        <v>0</v>
      </c>
      <c r="BL28" s="254">
        <f t="shared" si="12"/>
        <v>0</v>
      </c>
      <c r="BM28" s="254">
        <f t="shared" si="12"/>
        <v>0</v>
      </c>
      <c r="BN28" s="254">
        <f t="shared" si="12"/>
        <v>0</v>
      </c>
      <c r="BO28" s="254">
        <f t="shared" si="12"/>
        <v>0</v>
      </c>
      <c r="BP28" s="254">
        <f t="shared" si="12"/>
        <v>0</v>
      </c>
      <c r="BQ28" s="254">
        <f t="shared" si="12"/>
        <v>0</v>
      </c>
      <c r="BR28" s="254">
        <f t="shared" si="12"/>
        <v>0</v>
      </c>
      <c r="BS28" s="254">
        <f t="shared" si="12"/>
        <v>0</v>
      </c>
      <c r="BT28" s="254">
        <f t="shared" si="12"/>
        <v>0</v>
      </c>
      <c r="BU28" s="254">
        <f t="shared" si="12"/>
        <v>0</v>
      </c>
      <c r="BV28" s="254">
        <f t="shared" si="12"/>
        <v>0</v>
      </c>
      <c r="BW28" s="254">
        <f t="shared" si="12"/>
        <v>0</v>
      </c>
      <c r="BX28" s="254">
        <f t="shared" si="12"/>
        <v>0</v>
      </c>
      <c r="BY28" s="256">
        <f>SUM(BY29:BY35)</f>
        <v>-61322644.280000001</v>
      </c>
      <c r="BZ28" s="564"/>
      <c r="CA28" s="229"/>
      <c r="CB28" s="326"/>
      <c r="CC28" s="229"/>
      <c r="CD28" s="229"/>
      <c r="CE28" s="229"/>
      <c r="CF28" s="229"/>
      <c r="CG28" s="229"/>
      <c r="CH28" s="229"/>
      <c r="CI28" s="229"/>
      <c r="CJ28" s="229"/>
      <c r="CK28" s="229"/>
    </row>
    <row r="29" spans="2:89" ht="15" customHeight="1" outlineLevel="1">
      <c r="B29" s="569"/>
      <c r="C29" s="257" t="s">
        <v>206</v>
      </c>
      <c r="D29" s="258" t="s">
        <v>191</v>
      </c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>
        <f>(-Businessplan_prodej!$C$40+Businessplan_prodej!$F$38)/9</f>
        <v>-6819182.6977777779</v>
      </c>
      <c r="AE29" s="259">
        <f>(-Businessplan_prodej!$C$40+Businessplan_prodej!$F$38)/9</f>
        <v>-6819182.6977777779</v>
      </c>
      <c r="AF29" s="259">
        <f>(-Businessplan_prodej!$C$40+Businessplan_prodej!$F$38)/9</f>
        <v>-6819182.6977777779</v>
      </c>
      <c r="AG29" s="259">
        <f>(-Businessplan_prodej!$C$40+Businessplan_prodej!$F$38)/9</f>
        <v>-6819182.6977777779</v>
      </c>
      <c r="AH29" s="259">
        <f>(-Businessplan_prodej!$C$40+Businessplan_prodej!$F$38)/9</f>
        <v>-6819182.6977777779</v>
      </c>
      <c r="AI29" s="259">
        <f>(-Businessplan_prodej!$C$40+Businessplan_prodej!$F$38)/9</f>
        <v>-6819182.6977777779</v>
      </c>
      <c r="AJ29" s="259">
        <f>(-Businessplan_prodej!$C$40+Businessplan_prodej!$F$38)/9</f>
        <v>-6819182.6977777779</v>
      </c>
      <c r="AK29" s="259">
        <f>(-Businessplan_prodej!$C$40+Businessplan_prodej!$F$38)/9-SUM(H32:AK32)</f>
        <v>-6044092.6977777779</v>
      </c>
      <c r="AL29" s="259">
        <f>(-Businessplan_prodej!$C$40+Businessplan_prodej!$F$38)/9+50000</f>
        <v>-6769182.6977777779</v>
      </c>
      <c r="AM29" s="259"/>
      <c r="AN29" s="259"/>
      <c r="AO29" s="259"/>
      <c r="AP29" s="259"/>
      <c r="AQ29" s="259"/>
      <c r="AR29" s="259"/>
      <c r="AS29" s="259"/>
      <c r="AT29" s="259"/>
      <c r="AU29" s="259"/>
      <c r="AV29" s="259"/>
      <c r="AW29" s="259"/>
      <c r="AX29" s="259"/>
      <c r="AY29" s="259"/>
      <c r="AZ29" s="259"/>
      <c r="BA29" s="259"/>
      <c r="BB29" s="259"/>
      <c r="BC29" s="259"/>
      <c r="BD29" s="259"/>
      <c r="BE29" s="259"/>
      <c r="BF29" s="259"/>
      <c r="BG29" s="259"/>
      <c r="BH29" s="259"/>
      <c r="BI29" s="259"/>
      <c r="BJ29" s="259"/>
      <c r="BK29" s="259"/>
      <c r="BL29" s="259"/>
      <c r="BM29" s="259"/>
      <c r="BN29" s="259"/>
      <c r="BO29" s="259"/>
      <c r="BP29" s="259"/>
      <c r="BQ29" s="259"/>
      <c r="BR29" s="259"/>
      <c r="BS29" s="259"/>
      <c r="BT29" s="259"/>
      <c r="BU29" s="259"/>
      <c r="BV29" s="259"/>
      <c r="BW29" s="259"/>
      <c r="BX29" s="265"/>
      <c r="BY29" s="266">
        <f t="shared" ref="BY29:BY35" si="13">SUM(E29:BX29)</f>
        <v>-60547554.280000001</v>
      </c>
      <c r="BZ29" s="564"/>
      <c r="CA29" s="229"/>
      <c r="CB29" s="229"/>
      <c r="CC29" s="229"/>
      <c r="CD29" s="229"/>
      <c r="CE29" s="229"/>
      <c r="CF29" s="229"/>
      <c r="CG29" s="229"/>
      <c r="CH29" s="229"/>
      <c r="CI29" s="229"/>
      <c r="CJ29" s="229"/>
      <c r="CK29" s="229"/>
    </row>
    <row r="30" spans="2:89" ht="15" customHeight="1" outlineLevel="1">
      <c r="B30" s="569"/>
      <c r="C30" s="257" t="s">
        <v>207</v>
      </c>
      <c r="D30" s="258" t="s">
        <v>191</v>
      </c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  <c r="AP30" s="259"/>
      <c r="AQ30" s="259"/>
      <c r="AR30" s="259"/>
      <c r="AS30" s="259"/>
      <c r="AT30" s="259"/>
      <c r="AU30" s="259"/>
      <c r="AV30" s="259"/>
      <c r="AW30" s="259"/>
      <c r="AX30" s="259"/>
      <c r="AY30" s="259"/>
      <c r="AZ30" s="259"/>
      <c r="BA30" s="259"/>
      <c r="BB30" s="259"/>
      <c r="BC30" s="259"/>
      <c r="BD30" s="259"/>
      <c r="BE30" s="259"/>
      <c r="BF30" s="259"/>
      <c r="BG30" s="259"/>
      <c r="BH30" s="259"/>
      <c r="BI30" s="259"/>
      <c r="BJ30" s="259"/>
      <c r="BK30" s="259"/>
      <c r="BL30" s="259"/>
      <c r="BM30" s="259"/>
      <c r="BN30" s="259"/>
      <c r="BO30" s="259"/>
      <c r="BP30" s="259"/>
      <c r="BQ30" s="259"/>
      <c r="BR30" s="259"/>
      <c r="BS30" s="259"/>
      <c r="BT30" s="259"/>
      <c r="BU30" s="259"/>
      <c r="BV30" s="259"/>
      <c r="BW30" s="259"/>
      <c r="BX30" s="265"/>
      <c r="BY30" s="267">
        <f t="shared" si="13"/>
        <v>0</v>
      </c>
      <c r="BZ30" s="564"/>
      <c r="CA30" s="229"/>
      <c r="CB30" s="229"/>
      <c r="CC30" s="229"/>
      <c r="CD30" s="229"/>
      <c r="CE30" s="229"/>
      <c r="CF30" s="229"/>
      <c r="CG30" s="229"/>
      <c r="CH30" s="229"/>
      <c r="CI30" s="229"/>
      <c r="CJ30" s="229"/>
      <c r="CK30" s="229"/>
    </row>
    <row r="31" spans="2:89" ht="15" customHeight="1" outlineLevel="1">
      <c r="B31" s="569"/>
      <c r="C31" s="257" t="s">
        <v>208</v>
      </c>
      <c r="D31" s="258" t="s">
        <v>191</v>
      </c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  <c r="AP31" s="259"/>
      <c r="AQ31" s="259"/>
      <c r="AR31" s="259"/>
      <c r="AS31" s="259"/>
      <c r="AT31" s="259"/>
      <c r="AU31" s="259"/>
      <c r="AV31" s="259"/>
      <c r="AW31" s="259"/>
      <c r="AX31" s="259"/>
      <c r="AY31" s="259"/>
      <c r="AZ31" s="259"/>
      <c r="BA31" s="259"/>
      <c r="BB31" s="259"/>
      <c r="BC31" s="259"/>
      <c r="BD31" s="259"/>
      <c r="BE31" s="259"/>
      <c r="BF31" s="259"/>
      <c r="BG31" s="259"/>
      <c r="BH31" s="259"/>
      <c r="BI31" s="259"/>
      <c r="BJ31" s="259"/>
      <c r="BK31" s="259"/>
      <c r="BL31" s="259"/>
      <c r="BM31" s="259"/>
      <c r="BN31" s="259"/>
      <c r="BO31" s="259"/>
      <c r="BP31" s="259"/>
      <c r="BQ31" s="259"/>
      <c r="BR31" s="259"/>
      <c r="BS31" s="259"/>
      <c r="BT31" s="259"/>
      <c r="BU31" s="259"/>
      <c r="BV31" s="259"/>
      <c r="BW31" s="259"/>
      <c r="BX31" s="265"/>
      <c r="BY31" s="267">
        <f t="shared" si="13"/>
        <v>0</v>
      </c>
      <c r="BZ31" s="564"/>
      <c r="CA31" s="229"/>
      <c r="CB31" s="229"/>
      <c r="CC31" s="229"/>
      <c r="CD31" s="229"/>
      <c r="CE31" s="229"/>
      <c r="CF31" s="229"/>
      <c r="CG31" s="229"/>
      <c r="CH31" s="229"/>
      <c r="CI31" s="229"/>
      <c r="CJ31" s="229"/>
      <c r="CK31" s="229"/>
    </row>
    <row r="32" spans="2:89" ht="15" customHeight="1" outlineLevel="1">
      <c r="B32" s="569"/>
      <c r="C32" s="257" t="s">
        <v>209</v>
      </c>
      <c r="D32" s="258" t="s">
        <v>191</v>
      </c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>
        <f>-9625-61600-19250-12320</f>
        <v>-102795</v>
      </c>
      <c r="U32" s="259"/>
      <c r="V32" s="259">
        <f>-77000-48125-9625</f>
        <v>-134750</v>
      </c>
      <c r="W32" s="259"/>
      <c r="X32" s="259"/>
      <c r="Y32" s="259"/>
      <c r="Z32" s="259"/>
      <c r="AA32" s="259"/>
      <c r="AB32" s="259"/>
      <c r="AC32" s="259"/>
      <c r="AD32" s="259">
        <f t="shared" ref="AD32:AF32" si="14">-150000</f>
        <v>-150000</v>
      </c>
      <c r="AE32" s="259">
        <f>-9625-61600-19250-12320</f>
        <v>-102795</v>
      </c>
      <c r="AF32" s="259">
        <f t="shared" si="14"/>
        <v>-150000</v>
      </c>
      <c r="AG32" s="259"/>
      <c r="AH32" s="259"/>
      <c r="AI32" s="259">
        <f>-77000-48125-9625</f>
        <v>-134750</v>
      </c>
      <c r="AJ32" s="259"/>
      <c r="AK32" s="259"/>
      <c r="AL32" s="259"/>
      <c r="AM32" s="259"/>
      <c r="AN32" s="259"/>
      <c r="AO32" s="259"/>
      <c r="AP32" s="259"/>
      <c r="AQ32" s="259"/>
      <c r="AR32" s="259"/>
      <c r="AS32" s="259"/>
      <c r="AT32" s="259"/>
      <c r="AU32" s="259"/>
      <c r="AV32" s="259"/>
      <c r="AW32" s="259"/>
      <c r="AX32" s="259"/>
      <c r="AY32" s="259"/>
      <c r="AZ32" s="259"/>
      <c r="BA32" s="259"/>
      <c r="BB32" s="259"/>
      <c r="BC32" s="259"/>
      <c r="BD32" s="259"/>
      <c r="BE32" s="259"/>
      <c r="BF32" s="259"/>
      <c r="BG32" s="259"/>
      <c r="BH32" s="259"/>
      <c r="BI32" s="259"/>
      <c r="BJ32" s="259"/>
      <c r="BK32" s="259"/>
      <c r="BL32" s="259"/>
      <c r="BM32" s="259"/>
      <c r="BN32" s="259"/>
      <c r="BO32" s="259"/>
      <c r="BP32" s="259"/>
      <c r="BQ32" s="259"/>
      <c r="BR32" s="259"/>
      <c r="BS32" s="259"/>
      <c r="BT32" s="259"/>
      <c r="BU32" s="259"/>
      <c r="BV32" s="259"/>
      <c r="BW32" s="259"/>
      <c r="BX32" s="265"/>
      <c r="BY32" s="267">
        <f t="shared" si="13"/>
        <v>-775090</v>
      </c>
      <c r="BZ32" s="564"/>
      <c r="CA32" s="229"/>
      <c r="CB32" s="229"/>
      <c r="CC32" s="229"/>
      <c r="CD32" s="229"/>
      <c r="CE32" s="229"/>
      <c r="CF32" s="229"/>
      <c r="CG32" s="229"/>
      <c r="CH32" s="229"/>
      <c r="CI32" s="229"/>
      <c r="CJ32" s="229"/>
      <c r="CK32" s="229"/>
    </row>
    <row r="33" spans="2:82" ht="15" customHeight="1" outlineLevel="1">
      <c r="B33" s="569"/>
      <c r="C33" s="257" t="s">
        <v>210</v>
      </c>
      <c r="D33" s="258" t="s">
        <v>191</v>
      </c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  <c r="AP33" s="259"/>
      <c r="AQ33" s="259"/>
      <c r="AR33" s="259"/>
      <c r="AS33" s="259"/>
      <c r="AT33" s="259"/>
      <c r="AU33" s="259"/>
      <c r="AV33" s="259"/>
      <c r="AW33" s="259"/>
      <c r="AX33" s="259"/>
      <c r="AY33" s="259"/>
      <c r="AZ33" s="259"/>
      <c r="BA33" s="259"/>
      <c r="BB33" s="259"/>
      <c r="BC33" s="259"/>
      <c r="BD33" s="259"/>
      <c r="BE33" s="259"/>
      <c r="BF33" s="259"/>
      <c r="BG33" s="259"/>
      <c r="BH33" s="259"/>
      <c r="BI33" s="259"/>
      <c r="BJ33" s="259"/>
      <c r="BK33" s="259"/>
      <c r="BL33" s="259"/>
      <c r="BM33" s="259"/>
      <c r="BN33" s="259"/>
      <c r="BO33" s="259"/>
      <c r="BP33" s="259"/>
      <c r="BQ33" s="259"/>
      <c r="BR33" s="259"/>
      <c r="BS33" s="259"/>
      <c r="BT33" s="259"/>
      <c r="BU33" s="259"/>
      <c r="BV33" s="259"/>
      <c r="BW33" s="259"/>
      <c r="BX33" s="265"/>
      <c r="BY33" s="267">
        <f t="shared" si="13"/>
        <v>0</v>
      </c>
      <c r="BZ33" s="564"/>
      <c r="CA33" s="229"/>
      <c r="CB33" s="229"/>
    </row>
    <row r="34" spans="2:82" ht="15" customHeight="1" outlineLevel="1">
      <c r="B34" s="569"/>
      <c r="C34" s="268" t="s">
        <v>211</v>
      </c>
      <c r="D34" s="258" t="s">
        <v>191</v>
      </c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65"/>
      <c r="BY34" s="267">
        <f t="shared" si="13"/>
        <v>0</v>
      </c>
      <c r="BZ34" s="564"/>
      <c r="CA34" s="229"/>
      <c r="CB34" s="229"/>
    </row>
    <row r="35" spans="2:82" ht="15" customHeight="1" outlineLevel="1">
      <c r="B35" s="569"/>
      <c r="C35" s="257" t="s">
        <v>212</v>
      </c>
      <c r="D35" s="261" t="s">
        <v>191</v>
      </c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59"/>
      <c r="T35" s="259"/>
      <c r="U35" s="259"/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  <c r="AP35" s="259"/>
      <c r="AQ35" s="259"/>
      <c r="AR35" s="259"/>
      <c r="AS35" s="259"/>
      <c r="AT35" s="259"/>
      <c r="AU35" s="259"/>
      <c r="AV35" s="259"/>
      <c r="AW35" s="259"/>
      <c r="AX35" s="259"/>
      <c r="AY35" s="259"/>
      <c r="AZ35" s="259"/>
      <c r="BA35" s="259"/>
      <c r="BB35" s="259"/>
      <c r="BC35" s="259"/>
      <c r="BD35" s="259"/>
      <c r="BE35" s="259"/>
      <c r="BF35" s="259"/>
      <c r="BG35" s="259"/>
      <c r="BH35" s="259"/>
      <c r="BI35" s="259"/>
      <c r="BJ35" s="259"/>
      <c r="BK35" s="259"/>
      <c r="BL35" s="259"/>
      <c r="BM35" s="259"/>
      <c r="BN35" s="259"/>
      <c r="BO35" s="259"/>
      <c r="BP35" s="259"/>
      <c r="BQ35" s="259"/>
      <c r="BR35" s="259"/>
      <c r="BS35" s="259"/>
      <c r="BT35" s="259"/>
      <c r="BU35" s="259"/>
      <c r="BV35" s="259"/>
      <c r="BW35" s="259"/>
      <c r="BX35" s="265"/>
      <c r="BY35" s="269">
        <f t="shared" si="13"/>
        <v>0</v>
      </c>
      <c r="BZ35" s="564"/>
      <c r="CA35" s="229"/>
      <c r="CB35" s="229"/>
    </row>
    <row r="36" spans="2:82" ht="15" customHeight="1" collapsed="1">
      <c r="B36" s="569"/>
      <c r="C36" s="252" t="s">
        <v>213</v>
      </c>
      <c r="D36" s="253"/>
      <c r="E36" s="254">
        <f t="shared" ref="E36:BX36" si="15">SUM(E37:E38)</f>
        <v>0</v>
      </c>
      <c r="F36" s="254">
        <f t="shared" si="15"/>
        <v>0</v>
      </c>
      <c r="G36" s="254">
        <f t="shared" si="15"/>
        <v>0</v>
      </c>
      <c r="H36" s="254">
        <f t="shared" si="15"/>
        <v>0</v>
      </c>
      <c r="I36" s="254">
        <f t="shared" si="15"/>
        <v>0</v>
      </c>
      <c r="J36" s="254">
        <f t="shared" si="15"/>
        <v>0</v>
      </c>
      <c r="K36" s="254">
        <f t="shared" si="15"/>
        <v>0</v>
      </c>
      <c r="L36" s="254">
        <f t="shared" si="15"/>
        <v>0</v>
      </c>
      <c r="M36" s="254">
        <f t="shared" si="15"/>
        <v>0</v>
      </c>
      <c r="N36" s="254">
        <f t="shared" si="15"/>
        <v>0</v>
      </c>
      <c r="O36" s="254">
        <f t="shared" si="15"/>
        <v>0</v>
      </c>
      <c r="P36" s="254">
        <f t="shared" si="15"/>
        <v>0</v>
      </c>
      <c r="Q36" s="254">
        <f t="shared" si="15"/>
        <v>0</v>
      </c>
      <c r="R36" s="254">
        <f t="shared" si="15"/>
        <v>0</v>
      </c>
      <c r="S36" s="254">
        <f t="shared" si="15"/>
        <v>0</v>
      </c>
      <c r="T36" s="254">
        <f t="shared" si="15"/>
        <v>0</v>
      </c>
      <c r="U36" s="254">
        <f t="shared" si="15"/>
        <v>0</v>
      </c>
      <c r="V36" s="254">
        <f t="shared" si="15"/>
        <v>0</v>
      </c>
      <c r="W36" s="254">
        <f t="shared" si="15"/>
        <v>0</v>
      </c>
      <c r="X36" s="254">
        <f t="shared" si="15"/>
        <v>0</v>
      </c>
      <c r="Y36" s="254">
        <f t="shared" si="15"/>
        <v>0</v>
      </c>
      <c r="Z36" s="254">
        <f t="shared" si="15"/>
        <v>0</v>
      </c>
      <c r="AA36" s="254">
        <f t="shared" si="15"/>
        <v>0</v>
      </c>
      <c r="AB36" s="254">
        <f t="shared" si="15"/>
        <v>0</v>
      </c>
      <c r="AC36" s="254">
        <f t="shared" si="15"/>
        <v>0</v>
      </c>
      <c r="AD36" s="254">
        <f t="shared" si="15"/>
        <v>-1056388.888888889</v>
      </c>
      <c r="AE36" s="254">
        <f t="shared" si="15"/>
        <v>-1056388.888888889</v>
      </c>
      <c r="AF36" s="254">
        <f t="shared" si="15"/>
        <v>-1056388.888888889</v>
      </c>
      <c r="AG36" s="254">
        <f t="shared" si="15"/>
        <v>-1056388.888888889</v>
      </c>
      <c r="AH36" s="254">
        <f t="shared" si="15"/>
        <v>-1056388.888888889</v>
      </c>
      <c r="AI36" s="254">
        <f t="shared" si="15"/>
        <v>-1056388.888888889</v>
      </c>
      <c r="AJ36" s="254">
        <f t="shared" si="15"/>
        <v>-1056388.888888889</v>
      </c>
      <c r="AK36" s="254">
        <f t="shared" si="15"/>
        <v>-1056388.888888889</v>
      </c>
      <c r="AL36" s="254">
        <f t="shared" si="15"/>
        <v>-1056388.888888889</v>
      </c>
      <c r="AM36" s="254">
        <f t="shared" si="15"/>
        <v>0</v>
      </c>
      <c r="AN36" s="254">
        <f t="shared" si="15"/>
        <v>0</v>
      </c>
      <c r="AO36" s="254">
        <f t="shared" si="15"/>
        <v>0</v>
      </c>
      <c r="AP36" s="254">
        <f t="shared" si="15"/>
        <v>0</v>
      </c>
      <c r="AQ36" s="254">
        <f t="shared" si="15"/>
        <v>0</v>
      </c>
      <c r="AR36" s="254">
        <f t="shared" si="15"/>
        <v>0</v>
      </c>
      <c r="AS36" s="254">
        <f t="shared" si="15"/>
        <v>0</v>
      </c>
      <c r="AT36" s="254">
        <f t="shared" si="15"/>
        <v>0</v>
      </c>
      <c r="AU36" s="254">
        <f t="shared" si="15"/>
        <v>0</v>
      </c>
      <c r="AV36" s="254">
        <f t="shared" si="15"/>
        <v>0</v>
      </c>
      <c r="AW36" s="254">
        <f t="shared" si="15"/>
        <v>0</v>
      </c>
      <c r="AX36" s="254">
        <f t="shared" si="15"/>
        <v>0</v>
      </c>
      <c r="AY36" s="254">
        <f t="shared" si="15"/>
        <v>0</v>
      </c>
      <c r="AZ36" s="254">
        <f t="shared" si="15"/>
        <v>0</v>
      </c>
      <c r="BA36" s="254">
        <f t="shared" si="15"/>
        <v>0</v>
      </c>
      <c r="BB36" s="254">
        <f t="shared" si="15"/>
        <v>0</v>
      </c>
      <c r="BC36" s="254">
        <f t="shared" si="15"/>
        <v>0</v>
      </c>
      <c r="BD36" s="254">
        <f t="shared" si="15"/>
        <v>0</v>
      </c>
      <c r="BE36" s="254">
        <f t="shared" si="15"/>
        <v>0</v>
      </c>
      <c r="BF36" s="254">
        <f t="shared" si="15"/>
        <v>0</v>
      </c>
      <c r="BG36" s="254">
        <f t="shared" si="15"/>
        <v>0</v>
      </c>
      <c r="BH36" s="254">
        <f t="shared" si="15"/>
        <v>0</v>
      </c>
      <c r="BI36" s="254">
        <f t="shared" si="15"/>
        <v>0</v>
      </c>
      <c r="BJ36" s="254">
        <f t="shared" si="15"/>
        <v>0</v>
      </c>
      <c r="BK36" s="254">
        <f t="shared" si="15"/>
        <v>0</v>
      </c>
      <c r="BL36" s="254">
        <f t="shared" si="15"/>
        <v>0</v>
      </c>
      <c r="BM36" s="254">
        <f t="shared" si="15"/>
        <v>0</v>
      </c>
      <c r="BN36" s="254">
        <f t="shared" si="15"/>
        <v>0</v>
      </c>
      <c r="BO36" s="254">
        <f t="shared" si="15"/>
        <v>0</v>
      </c>
      <c r="BP36" s="254">
        <f t="shared" si="15"/>
        <v>0</v>
      </c>
      <c r="BQ36" s="254">
        <f t="shared" si="15"/>
        <v>0</v>
      </c>
      <c r="BR36" s="254">
        <f t="shared" si="15"/>
        <v>0</v>
      </c>
      <c r="BS36" s="254">
        <f t="shared" si="15"/>
        <v>0</v>
      </c>
      <c r="BT36" s="254">
        <f t="shared" si="15"/>
        <v>0</v>
      </c>
      <c r="BU36" s="254">
        <f t="shared" si="15"/>
        <v>0</v>
      </c>
      <c r="BV36" s="254">
        <f t="shared" si="15"/>
        <v>0</v>
      </c>
      <c r="BW36" s="254">
        <f t="shared" si="15"/>
        <v>0</v>
      </c>
      <c r="BX36" s="254">
        <f t="shared" si="15"/>
        <v>0</v>
      </c>
      <c r="BY36" s="256">
        <f>SUM(BY37:BY38)</f>
        <v>-9507500</v>
      </c>
      <c r="BZ36" s="564"/>
      <c r="CA36" s="248"/>
      <c r="CB36" s="229"/>
    </row>
    <row r="37" spans="2:82" ht="15" hidden="1" customHeight="1" outlineLevel="1">
      <c r="B37" s="569"/>
      <c r="C37" s="257" t="s">
        <v>214</v>
      </c>
      <c r="D37" s="258" t="s">
        <v>191</v>
      </c>
      <c r="E37" s="259"/>
      <c r="F37" s="259"/>
      <c r="G37" s="259"/>
      <c r="H37" s="259"/>
      <c r="I37" s="259"/>
      <c r="J37" s="259"/>
      <c r="K37" s="259"/>
      <c r="L37" s="259"/>
      <c r="M37" s="259"/>
      <c r="N37" s="259"/>
      <c r="O37" s="259"/>
      <c r="P37" s="259"/>
      <c r="Q37" s="259"/>
      <c r="R37" s="259"/>
      <c r="S37" s="270"/>
      <c r="T37" s="259"/>
      <c r="U37" s="259"/>
      <c r="V37" s="259"/>
      <c r="W37" s="259"/>
      <c r="X37" s="259"/>
      <c r="Y37" s="259"/>
      <c r="Z37" s="259"/>
      <c r="AA37" s="259"/>
      <c r="AB37" s="259"/>
      <c r="AC37" s="259"/>
      <c r="AD37" s="259">
        <f>-Businessplan_prodej!$F$46/9</f>
        <v>-1056388.888888889</v>
      </c>
      <c r="AE37" s="259">
        <f>-Businessplan_prodej!$F$46/9</f>
        <v>-1056388.888888889</v>
      </c>
      <c r="AF37" s="259">
        <f>-Businessplan_prodej!$F$46/9</f>
        <v>-1056388.888888889</v>
      </c>
      <c r="AG37" s="259">
        <f>-Businessplan_prodej!$F$46/9</f>
        <v>-1056388.888888889</v>
      </c>
      <c r="AH37" s="259">
        <f>-Businessplan_prodej!$F$46/9</f>
        <v>-1056388.888888889</v>
      </c>
      <c r="AI37" s="259">
        <f>-Businessplan_prodej!$F$46/9</f>
        <v>-1056388.888888889</v>
      </c>
      <c r="AJ37" s="259">
        <f>-Businessplan_prodej!$F$46/9</f>
        <v>-1056388.888888889</v>
      </c>
      <c r="AK37" s="259">
        <f>-Businessplan_prodej!$F$46/9</f>
        <v>-1056388.888888889</v>
      </c>
      <c r="AL37" s="259">
        <f>-Businessplan_prodej!$F$46/9</f>
        <v>-1056388.888888889</v>
      </c>
      <c r="AM37" s="259"/>
      <c r="AN37" s="259"/>
      <c r="AO37" s="259"/>
      <c r="AP37" s="259"/>
      <c r="AQ37" s="259"/>
      <c r="AR37" s="259"/>
      <c r="AS37" s="259"/>
      <c r="AT37" s="259"/>
      <c r="AU37" s="259"/>
      <c r="AV37" s="259"/>
      <c r="AW37" s="259"/>
      <c r="AX37" s="259"/>
      <c r="AY37" s="259"/>
      <c r="AZ37" s="259"/>
      <c r="BA37" s="259"/>
      <c r="BB37" s="259"/>
      <c r="BC37" s="259"/>
      <c r="BD37" s="259"/>
      <c r="BE37" s="259"/>
      <c r="BF37" s="259"/>
      <c r="BG37" s="259"/>
      <c r="BH37" s="259"/>
      <c r="BI37" s="259"/>
      <c r="BJ37" s="259"/>
      <c r="BK37" s="259"/>
      <c r="BL37" s="259"/>
      <c r="BM37" s="259"/>
      <c r="BN37" s="259"/>
      <c r="BO37" s="259"/>
      <c r="BP37" s="259"/>
      <c r="BQ37" s="259"/>
      <c r="BR37" s="259"/>
      <c r="BS37" s="259"/>
      <c r="BT37" s="259"/>
      <c r="BU37" s="259"/>
      <c r="BV37" s="259"/>
      <c r="BW37" s="259"/>
      <c r="BX37" s="265"/>
      <c r="BY37" s="266">
        <f t="shared" ref="BY37:BY38" si="16">SUM(E37:BX37)</f>
        <v>-9507500</v>
      </c>
      <c r="BZ37" s="564"/>
      <c r="CA37" s="229"/>
      <c r="CB37" s="229"/>
    </row>
    <row r="38" spans="2:82" ht="15" hidden="1" customHeight="1" outlineLevel="1">
      <c r="B38" s="569"/>
      <c r="C38" s="257" t="s">
        <v>215</v>
      </c>
      <c r="D38" s="261" t="s">
        <v>191</v>
      </c>
      <c r="E38" s="259"/>
      <c r="F38" s="259"/>
      <c r="G38" s="259"/>
      <c r="H38" s="259"/>
      <c r="I38" s="259"/>
      <c r="J38" s="259"/>
      <c r="K38" s="259"/>
      <c r="L38" s="259"/>
      <c r="M38" s="259"/>
      <c r="N38" s="259"/>
      <c r="O38" s="259"/>
      <c r="P38" s="259"/>
      <c r="Q38" s="259"/>
      <c r="R38" s="259"/>
      <c r="S38" s="270"/>
      <c r="T38" s="259"/>
      <c r="U38" s="259"/>
      <c r="V38" s="259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59"/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59"/>
      <c r="BI38" s="259"/>
      <c r="BJ38" s="259"/>
      <c r="BK38" s="259"/>
      <c r="BL38" s="259"/>
      <c r="BM38" s="259"/>
      <c r="BN38" s="259"/>
      <c r="BO38" s="259"/>
      <c r="BP38" s="259"/>
      <c r="BQ38" s="259"/>
      <c r="BR38" s="259"/>
      <c r="BS38" s="259"/>
      <c r="BT38" s="259"/>
      <c r="BU38" s="259"/>
      <c r="BV38" s="259"/>
      <c r="BW38" s="259"/>
      <c r="BX38" s="265"/>
      <c r="BY38" s="269">
        <f t="shared" si="16"/>
        <v>0</v>
      </c>
      <c r="BZ38" s="564"/>
      <c r="CA38" s="229"/>
      <c r="CB38" s="229"/>
    </row>
    <row r="39" spans="2:82" ht="15.95">
      <c r="B39" s="569"/>
      <c r="C39" s="252" t="s">
        <v>216</v>
      </c>
      <c r="D39" s="253"/>
      <c r="E39" s="254">
        <f t="shared" ref="E39:BX39" si="17">SUM(E40:E48)</f>
        <v>0</v>
      </c>
      <c r="F39" s="254">
        <f t="shared" si="17"/>
        <v>0</v>
      </c>
      <c r="G39" s="254">
        <f t="shared" si="17"/>
        <v>0</v>
      </c>
      <c r="H39" s="254">
        <f t="shared" si="17"/>
        <v>0</v>
      </c>
      <c r="I39" s="254">
        <f t="shared" si="17"/>
        <v>-87324</v>
      </c>
      <c r="J39" s="254">
        <f t="shared" si="17"/>
        <v>0</v>
      </c>
      <c r="K39" s="254">
        <f t="shared" si="17"/>
        <v>0</v>
      </c>
      <c r="L39" s="254">
        <f t="shared" si="17"/>
        <v>-23422</v>
      </c>
      <c r="M39" s="254">
        <f t="shared" si="17"/>
        <v>0</v>
      </c>
      <c r="N39" s="254">
        <f t="shared" si="17"/>
        <v>-65600</v>
      </c>
      <c r="O39" s="254">
        <f t="shared" si="17"/>
        <v>-25152.89256198347</v>
      </c>
      <c r="P39" s="254">
        <f t="shared" si="17"/>
        <v>-30477.685950413223</v>
      </c>
      <c r="Q39" s="254">
        <f t="shared" si="17"/>
        <v>-359550.41322314052</v>
      </c>
      <c r="R39" s="254">
        <f t="shared" si="17"/>
        <v>-180165.06438016528</v>
      </c>
      <c r="S39" s="254">
        <f t="shared" si="17"/>
        <v>-171690.44454545455</v>
      </c>
      <c r="T39" s="254">
        <f t="shared" si="17"/>
        <v>-163893.99</v>
      </c>
      <c r="U39" s="254">
        <f t="shared" si="17"/>
        <v>-182100.60157024793</v>
      </c>
      <c r="V39" s="254">
        <f t="shared" si="17"/>
        <v>-167668.37016528923</v>
      </c>
      <c r="W39" s="254">
        <f t="shared" si="17"/>
        <v>-167395.64289256197</v>
      </c>
      <c r="X39" s="254">
        <f t="shared" si="17"/>
        <v>-167902.25446280991</v>
      </c>
      <c r="Y39" s="254">
        <f t="shared" si="17"/>
        <v>-167322.08917355372</v>
      </c>
      <c r="Z39" s="254">
        <f t="shared" si="17"/>
        <v>-165899.77512396695</v>
      </c>
      <c r="AA39" s="254">
        <f t="shared" si="17"/>
        <v>-177822.08917355372</v>
      </c>
      <c r="AB39" s="254">
        <f t="shared" si="17"/>
        <v>-166879.94041322314</v>
      </c>
      <c r="AC39" s="254">
        <f t="shared" si="17"/>
        <v>-260125.7479338843</v>
      </c>
      <c r="AD39" s="254">
        <f t="shared" si="17"/>
        <v>-1045080.6979338843</v>
      </c>
      <c r="AE39" s="254">
        <f t="shared" si="17"/>
        <v>-335402.44793388434</v>
      </c>
      <c r="AF39" s="254">
        <f t="shared" si="17"/>
        <v>-403712.44793388434</v>
      </c>
      <c r="AG39" s="254">
        <f t="shared" si="17"/>
        <v>-426482.44793388434</v>
      </c>
      <c r="AH39" s="254">
        <f t="shared" si="17"/>
        <v>-335402.44793388434</v>
      </c>
      <c r="AI39" s="254">
        <f t="shared" si="17"/>
        <v>-345402.44793388434</v>
      </c>
      <c r="AJ39" s="254">
        <f t="shared" si="17"/>
        <v>-345402.44793388434</v>
      </c>
      <c r="AK39" s="254">
        <f t="shared" si="17"/>
        <v>-312482.74793388427</v>
      </c>
      <c r="AL39" s="254">
        <f t="shared" si="17"/>
        <v>-1022160.9979338843</v>
      </c>
      <c r="AM39" s="254">
        <f t="shared" si="17"/>
        <v>-813493.99793388427</v>
      </c>
      <c r="AN39" s="254">
        <f t="shared" si="17"/>
        <v>0</v>
      </c>
      <c r="AO39" s="254">
        <f t="shared" si="17"/>
        <v>0</v>
      </c>
      <c r="AP39" s="254">
        <f t="shared" si="17"/>
        <v>0</v>
      </c>
      <c r="AQ39" s="254">
        <f t="shared" si="17"/>
        <v>0</v>
      </c>
      <c r="AR39" s="254">
        <f t="shared" si="17"/>
        <v>0</v>
      </c>
      <c r="AS39" s="254">
        <f t="shared" si="17"/>
        <v>0</v>
      </c>
      <c r="AT39" s="254">
        <f t="shared" si="17"/>
        <v>0</v>
      </c>
      <c r="AU39" s="254">
        <f t="shared" si="17"/>
        <v>0</v>
      </c>
      <c r="AV39" s="254">
        <f t="shared" si="17"/>
        <v>0</v>
      </c>
      <c r="AW39" s="254">
        <f t="shared" si="17"/>
        <v>0</v>
      </c>
      <c r="AX39" s="254">
        <f t="shared" si="17"/>
        <v>0</v>
      </c>
      <c r="AY39" s="254">
        <f t="shared" si="17"/>
        <v>0</v>
      </c>
      <c r="AZ39" s="254">
        <f t="shared" si="17"/>
        <v>0</v>
      </c>
      <c r="BA39" s="254">
        <f t="shared" si="17"/>
        <v>0</v>
      </c>
      <c r="BB39" s="254">
        <f t="shared" si="17"/>
        <v>0</v>
      </c>
      <c r="BC39" s="254">
        <f t="shared" si="17"/>
        <v>0</v>
      </c>
      <c r="BD39" s="254">
        <f t="shared" si="17"/>
        <v>0</v>
      </c>
      <c r="BE39" s="254">
        <f t="shared" si="17"/>
        <v>0</v>
      </c>
      <c r="BF39" s="254">
        <f t="shared" si="17"/>
        <v>0</v>
      </c>
      <c r="BG39" s="254">
        <f t="shared" si="17"/>
        <v>0</v>
      </c>
      <c r="BH39" s="254">
        <f t="shared" si="17"/>
        <v>0</v>
      </c>
      <c r="BI39" s="254">
        <f t="shared" si="17"/>
        <v>0</v>
      </c>
      <c r="BJ39" s="254">
        <f t="shared" si="17"/>
        <v>0</v>
      </c>
      <c r="BK39" s="254">
        <f t="shared" si="17"/>
        <v>0</v>
      </c>
      <c r="BL39" s="254">
        <f t="shared" si="17"/>
        <v>0</v>
      </c>
      <c r="BM39" s="254">
        <f t="shared" si="17"/>
        <v>0</v>
      </c>
      <c r="BN39" s="254">
        <f t="shared" si="17"/>
        <v>0</v>
      </c>
      <c r="BO39" s="254">
        <f t="shared" si="17"/>
        <v>0</v>
      </c>
      <c r="BP39" s="254">
        <f t="shared" si="17"/>
        <v>0</v>
      </c>
      <c r="BQ39" s="254">
        <f t="shared" si="17"/>
        <v>0</v>
      </c>
      <c r="BR39" s="254">
        <f t="shared" si="17"/>
        <v>0</v>
      </c>
      <c r="BS39" s="254">
        <f t="shared" si="17"/>
        <v>0</v>
      </c>
      <c r="BT39" s="254">
        <f t="shared" si="17"/>
        <v>0</v>
      </c>
      <c r="BU39" s="254">
        <f t="shared" si="17"/>
        <v>0</v>
      </c>
      <c r="BV39" s="254">
        <f t="shared" si="17"/>
        <v>0</v>
      </c>
      <c r="BW39" s="254">
        <f t="shared" si="17"/>
        <v>0</v>
      </c>
      <c r="BX39" s="254">
        <f t="shared" si="17"/>
        <v>0</v>
      </c>
      <c r="BY39" s="256">
        <f>SUM(BY40:BY48)</f>
        <v>-8115416.1309090909</v>
      </c>
      <c r="BZ39" s="564"/>
      <c r="CA39" s="229"/>
      <c r="CB39" s="229"/>
    </row>
    <row r="40" spans="2:82" ht="15.75" customHeight="1" outlineLevel="1">
      <c r="B40" s="569"/>
      <c r="C40" s="268" t="s">
        <v>217</v>
      </c>
      <c r="D40" s="258" t="s">
        <v>191</v>
      </c>
      <c r="E40" s="259"/>
      <c r="F40" s="259"/>
      <c r="G40" s="259"/>
      <c r="H40" s="259"/>
      <c r="I40" s="259"/>
      <c r="J40" s="259"/>
      <c r="K40" s="259"/>
      <c r="L40" s="259"/>
      <c r="M40" s="259"/>
      <c r="N40" s="259"/>
      <c r="O40" s="259"/>
      <c r="P40" s="259"/>
      <c r="Q40" s="259">
        <f>-(319440+106480)/1.21</f>
        <v>-352000</v>
      </c>
      <c r="R40" s="259">
        <f t="shared" ref="R40:AL40" si="18">-88000</f>
        <v>-88000</v>
      </c>
      <c r="S40" s="259">
        <f t="shared" si="18"/>
        <v>-88000</v>
      </c>
      <c r="T40" s="259">
        <f t="shared" si="18"/>
        <v>-88000</v>
      </c>
      <c r="U40" s="259">
        <f t="shared" si="18"/>
        <v>-88000</v>
      </c>
      <c r="V40" s="259">
        <f t="shared" si="18"/>
        <v>-88000</v>
      </c>
      <c r="W40" s="259">
        <f t="shared" si="18"/>
        <v>-88000</v>
      </c>
      <c r="X40" s="259">
        <f t="shared" si="18"/>
        <v>-88000</v>
      </c>
      <c r="Y40" s="259">
        <f t="shared" si="18"/>
        <v>-88000</v>
      </c>
      <c r="Z40" s="259">
        <f t="shared" si="18"/>
        <v>-88000</v>
      </c>
      <c r="AA40" s="259">
        <f t="shared" si="18"/>
        <v>-88000</v>
      </c>
      <c r="AB40" s="259">
        <f t="shared" si="18"/>
        <v>-88000</v>
      </c>
      <c r="AC40" s="259">
        <f t="shared" si="18"/>
        <v>-88000</v>
      </c>
      <c r="AD40" s="259">
        <f t="shared" si="18"/>
        <v>-88000</v>
      </c>
      <c r="AE40" s="259">
        <f t="shared" si="18"/>
        <v>-88000</v>
      </c>
      <c r="AF40" s="259">
        <f t="shared" si="18"/>
        <v>-88000</v>
      </c>
      <c r="AG40" s="259">
        <f t="shared" si="18"/>
        <v>-88000</v>
      </c>
      <c r="AH40" s="259">
        <f t="shared" si="18"/>
        <v>-88000</v>
      </c>
      <c r="AI40" s="259">
        <f t="shared" si="18"/>
        <v>-88000</v>
      </c>
      <c r="AJ40" s="259">
        <f t="shared" si="18"/>
        <v>-88000</v>
      </c>
      <c r="AK40" s="259">
        <f t="shared" si="18"/>
        <v>-88000</v>
      </c>
      <c r="AL40" s="259">
        <f t="shared" si="18"/>
        <v>-88000</v>
      </c>
      <c r="AM40" s="259"/>
      <c r="AN40" s="259"/>
      <c r="AO40" s="259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59"/>
      <c r="BI40" s="259"/>
      <c r="BJ40" s="259"/>
      <c r="BK40" s="259"/>
      <c r="BL40" s="259"/>
      <c r="BM40" s="259"/>
      <c r="BN40" s="262"/>
      <c r="BO40" s="262"/>
      <c r="BP40" s="262"/>
      <c r="BQ40" s="262"/>
      <c r="BR40" s="262"/>
      <c r="BS40" s="262"/>
      <c r="BT40" s="262"/>
      <c r="BU40" s="262"/>
      <c r="BV40" s="262"/>
      <c r="BW40" s="262"/>
      <c r="BX40" s="271"/>
      <c r="BY40" s="266">
        <f t="shared" ref="BY40:BY48" si="19">SUM(E40:BX40)</f>
        <v>-2200000</v>
      </c>
      <c r="BZ40" s="564"/>
      <c r="CA40" s="229"/>
      <c r="CB40" s="229"/>
    </row>
    <row r="41" spans="2:82" ht="15.75" customHeight="1" outlineLevel="1">
      <c r="B41" s="569"/>
      <c r="C41" s="268" t="s">
        <v>218</v>
      </c>
      <c r="D41" s="258" t="s">
        <v>191</v>
      </c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259"/>
      <c r="Q41" s="259"/>
      <c r="R41" s="259">
        <f t="shared" ref="R41:AB41" si="20">-75893.99</f>
        <v>-75893.990000000005</v>
      </c>
      <c r="S41" s="259">
        <f t="shared" si="20"/>
        <v>-75893.990000000005</v>
      </c>
      <c r="T41" s="259">
        <f t="shared" si="20"/>
        <v>-75893.990000000005</v>
      </c>
      <c r="U41" s="259">
        <f t="shared" si="20"/>
        <v>-75893.990000000005</v>
      </c>
      <c r="V41" s="259">
        <f t="shared" si="20"/>
        <v>-75893.990000000005</v>
      </c>
      <c r="W41" s="259">
        <f t="shared" si="20"/>
        <v>-75893.990000000005</v>
      </c>
      <c r="X41" s="259">
        <f t="shared" si="20"/>
        <v>-75893.990000000005</v>
      </c>
      <c r="Y41" s="259">
        <f t="shared" si="20"/>
        <v>-75893.990000000005</v>
      </c>
      <c r="Z41" s="259">
        <f t="shared" si="20"/>
        <v>-75893.990000000005</v>
      </c>
      <c r="AA41" s="259">
        <f t="shared" si="20"/>
        <v>-75893.990000000005</v>
      </c>
      <c r="AB41" s="259">
        <f t="shared" si="20"/>
        <v>-75893.990000000005</v>
      </c>
      <c r="AC41" s="259"/>
      <c r="AD41" s="259">
        <f t="shared" ref="AD41:AH41" si="21">-234666.7</f>
        <v>-234666.7</v>
      </c>
      <c r="AE41" s="259">
        <f t="shared" si="21"/>
        <v>-234666.7</v>
      </c>
      <c r="AF41" s="259">
        <f t="shared" si="21"/>
        <v>-234666.7</v>
      </c>
      <c r="AG41" s="259">
        <f t="shared" si="21"/>
        <v>-234666.7</v>
      </c>
      <c r="AH41" s="259">
        <f t="shared" si="21"/>
        <v>-234666.7</v>
      </c>
      <c r="AI41" s="259">
        <f t="shared" ref="AI41:AJ41" si="22">-244666.7</f>
        <v>-244666.7</v>
      </c>
      <c r="AJ41" s="259">
        <f t="shared" si="22"/>
        <v>-244666.7</v>
      </c>
      <c r="AK41" s="259">
        <f>-120667</f>
        <v>-120667</v>
      </c>
      <c r="AL41" s="259">
        <f>-120667</f>
        <v>-120667</v>
      </c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71"/>
      <c r="BY41" s="267">
        <f t="shared" si="19"/>
        <v>-2738834.79</v>
      </c>
      <c r="BZ41" s="564"/>
      <c r="CA41" s="229"/>
      <c r="CB41" s="229"/>
      <c r="CD41" s="506"/>
    </row>
    <row r="42" spans="2:82" ht="15.75" customHeight="1" outlineLevel="1">
      <c r="B42" s="569"/>
      <c r="C42" s="268" t="s">
        <v>219</v>
      </c>
      <c r="D42" s="258" t="s">
        <v>191</v>
      </c>
      <c r="E42" s="259"/>
      <c r="F42" s="259"/>
      <c r="G42" s="259"/>
      <c r="H42" s="259"/>
      <c r="I42" s="259"/>
      <c r="J42" s="259"/>
      <c r="K42" s="259"/>
      <c r="L42" s="259"/>
      <c r="M42" s="259"/>
      <c r="N42" s="259"/>
      <c r="O42" s="259"/>
      <c r="P42" s="259"/>
      <c r="Q42" s="259"/>
      <c r="R42" s="259"/>
      <c r="S42" s="259"/>
      <c r="T42" s="259"/>
      <c r="U42" s="259"/>
      <c r="V42" s="259"/>
      <c r="W42" s="259"/>
      <c r="X42" s="259"/>
      <c r="Y42" s="259"/>
      <c r="Z42" s="259"/>
      <c r="AA42" s="259"/>
      <c r="AB42" s="259"/>
      <c r="AC42" s="259"/>
      <c r="AD42" s="259"/>
      <c r="AE42" s="259"/>
      <c r="AF42" s="259"/>
      <c r="AG42" s="259"/>
      <c r="AH42" s="259"/>
      <c r="AI42" s="259"/>
      <c r="AJ42" s="259"/>
      <c r="AK42" s="259"/>
      <c r="AL42" s="259"/>
      <c r="AM42" s="259"/>
      <c r="AN42" s="259"/>
      <c r="AO42" s="259"/>
      <c r="AP42" s="259"/>
      <c r="AQ42" s="259"/>
      <c r="AR42" s="259"/>
      <c r="AS42" s="259"/>
      <c r="AT42" s="259"/>
      <c r="AU42" s="259"/>
      <c r="AV42" s="259"/>
      <c r="AW42" s="259"/>
      <c r="AX42" s="259"/>
      <c r="AY42" s="259"/>
      <c r="AZ42" s="259"/>
      <c r="BA42" s="259"/>
      <c r="BB42" s="259"/>
      <c r="BC42" s="259"/>
      <c r="BD42" s="259"/>
      <c r="BE42" s="259"/>
      <c r="BF42" s="259"/>
      <c r="BG42" s="259"/>
      <c r="BH42" s="259"/>
      <c r="BI42" s="259"/>
      <c r="BJ42" s="259"/>
      <c r="BK42" s="259"/>
      <c r="BL42" s="259"/>
      <c r="BM42" s="259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71"/>
      <c r="BY42" s="267">
        <f t="shared" si="19"/>
        <v>0</v>
      </c>
      <c r="BZ42" s="564"/>
      <c r="CA42" s="229"/>
      <c r="CB42" s="229"/>
      <c r="CD42" s="506"/>
    </row>
    <row r="43" spans="2:82" ht="15.75" customHeight="1" outlineLevel="1">
      <c r="B43" s="569"/>
      <c r="C43" s="268" t="s">
        <v>220</v>
      </c>
      <c r="D43" s="258" t="s">
        <v>191</v>
      </c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259"/>
      <c r="Q43" s="259"/>
      <c r="R43" s="259"/>
      <c r="S43" s="259"/>
      <c r="T43" s="259"/>
      <c r="U43" s="259"/>
      <c r="V43" s="259"/>
      <c r="W43" s="259"/>
      <c r="X43" s="259"/>
      <c r="Y43" s="259"/>
      <c r="Z43" s="259"/>
      <c r="AA43" s="259"/>
      <c r="AB43" s="259"/>
      <c r="AC43" s="259"/>
      <c r="AD43" s="259"/>
      <c r="AE43" s="259"/>
      <c r="AF43" s="259"/>
      <c r="AG43" s="259"/>
      <c r="AH43" s="259"/>
      <c r="AI43" s="259"/>
      <c r="AJ43" s="259"/>
      <c r="AK43" s="259"/>
      <c r="AL43" s="259"/>
      <c r="AM43" s="259"/>
      <c r="AN43" s="259"/>
      <c r="AO43" s="259"/>
      <c r="AP43" s="259"/>
      <c r="AQ43" s="259"/>
      <c r="AR43" s="259"/>
      <c r="AS43" s="259"/>
      <c r="AT43" s="259"/>
      <c r="AU43" s="259"/>
      <c r="AV43" s="259"/>
      <c r="AW43" s="259"/>
      <c r="AX43" s="259"/>
      <c r="AY43" s="259"/>
      <c r="AZ43" s="259"/>
      <c r="BA43" s="259"/>
      <c r="BB43" s="259"/>
      <c r="BC43" s="259"/>
      <c r="BD43" s="259"/>
      <c r="BE43" s="259"/>
      <c r="BF43" s="259"/>
      <c r="BG43" s="259"/>
      <c r="BH43" s="259"/>
      <c r="BI43" s="259"/>
      <c r="BJ43" s="259"/>
      <c r="BK43" s="259"/>
      <c r="BL43" s="259"/>
      <c r="BM43" s="259"/>
      <c r="BN43" s="262"/>
      <c r="BO43" s="262"/>
      <c r="BP43" s="262"/>
      <c r="BQ43" s="262"/>
      <c r="BR43" s="262"/>
      <c r="BS43" s="262"/>
      <c r="BT43" s="262"/>
      <c r="BU43" s="262"/>
      <c r="BV43" s="262"/>
      <c r="BW43" s="262"/>
      <c r="BX43" s="271"/>
      <c r="BY43" s="267">
        <f t="shared" si="19"/>
        <v>0</v>
      </c>
      <c r="BZ43" s="564"/>
      <c r="CA43" s="229"/>
      <c r="CB43" s="229"/>
    </row>
    <row r="44" spans="2:82" ht="15.75" customHeight="1" outlineLevel="1">
      <c r="B44" s="569"/>
      <c r="C44" s="257" t="s">
        <v>221</v>
      </c>
      <c r="D44" s="258" t="s">
        <v>191</v>
      </c>
      <c r="E44" s="259"/>
      <c r="F44" s="259"/>
      <c r="G44" s="259"/>
      <c r="H44" s="259"/>
      <c r="I44" s="259"/>
      <c r="J44" s="259"/>
      <c r="K44" s="259"/>
      <c r="L44" s="259">
        <f>-6028</f>
        <v>-6028</v>
      </c>
      <c r="M44" s="259"/>
      <c r="N44" s="259">
        <f>-65582/1.21</f>
        <v>-54200</v>
      </c>
      <c r="O44" s="259">
        <f>(-20570-7865)/1.21</f>
        <v>-23500</v>
      </c>
      <c r="P44" s="259">
        <f>-2921/1.21</f>
        <v>-2414.0495867768595</v>
      </c>
      <c r="Q44" s="259"/>
      <c r="R44" s="259">
        <f>-4200/1.21</f>
        <v>-3471.0743801652893</v>
      </c>
      <c r="S44" s="259">
        <f>-8433.71/1.21</f>
        <v>-6970.0082644628092</v>
      </c>
      <c r="T44" s="259"/>
      <c r="U44" s="259">
        <f>-22030/1.21</f>
        <v>-18206.611570247933</v>
      </c>
      <c r="V44" s="259">
        <f>-4567/1.21</f>
        <v>-3774.3801652892562</v>
      </c>
      <c r="W44" s="259">
        <f>-3753/1.21</f>
        <v>-3101.6528925619837</v>
      </c>
      <c r="X44" s="259">
        <f>-4850/1.21</f>
        <v>-4008.2644628099174</v>
      </c>
      <c r="Y44" s="259">
        <f>-4148/1.21</f>
        <v>-3428.0991735537191</v>
      </c>
      <c r="Z44" s="259">
        <f>-2427/1.21</f>
        <v>-2005.7851239669421</v>
      </c>
      <c r="AA44" s="259">
        <f>-4148/1.21</f>
        <v>-3428.0991735537191</v>
      </c>
      <c r="AB44" s="259">
        <f>-3613/1.21</f>
        <v>-2985.9504132231405</v>
      </c>
      <c r="AC44" s="259">
        <f>-(Businessplan_prodej!$F$64+SUM($E$44:$P$44))/24</f>
        <v>-2735.7479338842973</v>
      </c>
      <c r="AD44" s="259">
        <f>-(Businessplan_prodej!$F$64+SUM($E$44:$P$44))/24</f>
        <v>-2735.7479338842973</v>
      </c>
      <c r="AE44" s="259">
        <f>-(Businessplan_prodej!$F$64+SUM($E$44:$P$44))/24</f>
        <v>-2735.7479338842973</v>
      </c>
      <c r="AF44" s="259">
        <f>-(Businessplan_prodej!$F$64+SUM($E$44:$P$44))/24</f>
        <v>-2735.7479338842973</v>
      </c>
      <c r="AG44" s="259">
        <f>-(Businessplan_prodej!$F$64+SUM($E$44:$P$44))/24</f>
        <v>-2735.7479338842973</v>
      </c>
      <c r="AH44" s="259">
        <f>-(Businessplan_prodej!$F$64+SUM($E$44:$P$44))/24</f>
        <v>-2735.7479338842973</v>
      </c>
      <c r="AI44" s="259">
        <f>-(Businessplan_prodej!$F$64+SUM($E$44:$P$44))/24</f>
        <v>-2735.7479338842973</v>
      </c>
      <c r="AJ44" s="259">
        <f>-(Businessplan_prodej!$F$64+SUM($E$44:$P$44))/24</f>
        <v>-2735.7479338842973</v>
      </c>
      <c r="AK44" s="259">
        <f>-(Businessplan_prodej!$F$64+SUM($E$44:$P$44))/24</f>
        <v>-2735.7479338842973</v>
      </c>
      <c r="AL44" s="259">
        <f>-(Businessplan_prodej!$F$64+SUM($E$44:$P$44))/24</f>
        <v>-2735.7479338842973</v>
      </c>
      <c r="AM44" s="259">
        <f>-(Businessplan_prodej!$F$64+SUM($E$44:$P$44))/24</f>
        <v>-2735.7479338842973</v>
      </c>
      <c r="AN44" s="259"/>
      <c r="AO44" s="259"/>
      <c r="AP44" s="259"/>
      <c r="AQ44" s="259"/>
      <c r="AR44" s="259"/>
      <c r="AS44" s="259"/>
      <c r="AT44" s="259"/>
      <c r="AU44" s="259"/>
      <c r="AV44" s="259"/>
      <c r="AW44" s="259"/>
      <c r="AX44" s="259"/>
      <c r="AY44" s="259"/>
      <c r="AZ44" s="259"/>
      <c r="BA44" s="259"/>
      <c r="BB44" s="259"/>
      <c r="BC44" s="259"/>
      <c r="BD44" s="259"/>
      <c r="BE44" s="259"/>
      <c r="BF44" s="259"/>
      <c r="BG44" s="259"/>
      <c r="BH44" s="259"/>
      <c r="BI44" s="259"/>
      <c r="BJ44" s="259"/>
      <c r="BK44" s="259"/>
      <c r="BL44" s="259"/>
      <c r="BM44" s="259"/>
      <c r="BN44" s="259"/>
      <c r="BO44" s="259"/>
      <c r="BP44" s="259"/>
      <c r="BQ44" s="259"/>
      <c r="BR44" s="259"/>
      <c r="BS44" s="259"/>
      <c r="BT44" s="259"/>
      <c r="BU44" s="259"/>
      <c r="BV44" s="259"/>
      <c r="BW44" s="259"/>
      <c r="BX44" s="265"/>
      <c r="BY44" s="267">
        <f t="shared" si="19"/>
        <v>-167615.20247933886</v>
      </c>
      <c r="BZ44" s="564"/>
      <c r="CA44" s="229"/>
      <c r="CB44" s="229"/>
    </row>
    <row r="45" spans="2:82" ht="15.75" customHeight="1" outlineLevel="1">
      <c r="B45" s="569"/>
      <c r="C45" s="257" t="s">
        <v>222</v>
      </c>
      <c r="D45" s="258" t="s">
        <v>191</v>
      </c>
      <c r="E45" s="259"/>
      <c r="F45" s="259"/>
      <c r="G45" s="259"/>
      <c r="H45" s="259"/>
      <c r="I45" s="259">
        <f>-87324</f>
        <v>-87324</v>
      </c>
      <c r="J45" s="259"/>
      <c r="K45" s="259"/>
      <c r="L45" s="259">
        <f>-17394</f>
        <v>-17394</v>
      </c>
      <c r="M45" s="259"/>
      <c r="N45" s="259">
        <f>-11400</f>
        <v>-11400</v>
      </c>
      <c r="O45" s="259">
        <f>-2000/1.21</f>
        <v>-1652.8925619834711</v>
      </c>
      <c r="P45" s="259">
        <f>-33957/1.21</f>
        <v>-28063.636363636364</v>
      </c>
      <c r="Q45" s="259">
        <f>-9136/1.21</f>
        <v>-7550.4132231404965</v>
      </c>
      <c r="R45" s="259">
        <f>-15488/1.21</f>
        <v>-12800</v>
      </c>
      <c r="S45" s="259">
        <f>-1000/1.21</f>
        <v>-826.44628099173553</v>
      </c>
      <c r="T45" s="259"/>
      <c r="U45" s="259"/>
      <c r="V45" s="259"/>
      <c r="W45" s="259">
        <f>-484/1.21</f>
        <v>-400</v>
      </c>
      <c r="X45" s="259"/>
      <c r="Y45" s="259"/>
      <c r="Z45" s="259"/>
      <c r="AA45" s="259">
        <f>-12705/1.21</f>
        <v>-10500</v>
      </c>
      <c r="AB45" s="259"/>
      <c r="AC45" s="259">
        <f t="shared" ref="AC45:AM45" si="23">-10000</f>
        <v>-10000</v>
      </c>
      <c r="AD45" s="259">
        <f t="shared" si="23"/>
        <v>-10000</v>
      </c>
      <c r="AE45" s="259">
        <f t="shared" si="23"/>
        <v>-10000</v>
      </c>
      <c r="AF45" s="259">
        <f t="shared" si="23"/>
        <v>-10000</v>
      </c>
      <c r="AG45" s="259">
        <f t="shared" si="23"/>
        <v>-10000</v>
      </c>
      <c r="AH45" s="259">
        <f t="shared" si="23"/>
        <v>-10000</v>
      </c>
      <c r="AI45" s="259">
        <f t="shared" si="23"/>
        <v>-10000</v>
      </c>
      <c r="AJ45" s="259">
        <f t="shared" si="23"/>
        <v>-10000</v>
      </c>
      <c r="AK45" s="259">
        <f t="shared" si="23"/>
        <v>-10000</v>
      </c>
      <c r="AL45" s="259">
        <f t="shared" si="23"/>
        <v>-10000</v>
      </c>
      <c r="AM45" s="259">
        <f t="shared" si="23"/>
        <v>-10000</v>
      </c>
      <c r="AN45" s="259"/>
      <c r="AO45" s="259"/>
      <c r="AP45" s="259"/>
      <c r="AQ45" s="259"/>
      <c r="AR45" s="259"/>
      <c r="AS45" s="259"/>
      <c r="AT45" s="259"/>
      <c r="AU45" s="259"/>
      <c r="AV45" s="259"/>
      <c r="AW45" s="259"/>
      <c r="AX45" s="259"/>
      <c r="AY45" s="259"/>
      <c r="AZ45" s="259"/>
      <c r="BA45" s="259"/>
      <c r="BB45" s="259"/>
      <c r="BC45" s="259"/>
      <c r="BD45" s="259"/>
      <c r="BE45" s="259"/>
      <c r="BF45" s="259"/>
      <c r="BG45" s="259"/>
      <c r="BH45" s="259"/>
      <c r="BI45" s="259"/>
      <c r="BJ45" s="259"/>
      <c r="BK45" s="259"/>
      <c r="BL45" s="259"/>
      <c r="BM45" s="259"/>
      <c r="BN45" s="259"/>
      <c r="BO45" s="259"/>
      <c r="BP45" s="259"/>
      <c r="BQ45" s="259"/>
      <c r="BR45" s="259"/>
      <c r="BS45" s="259"/>
      <c r="BT45" s="259"/>
      <c r="BU45" s="259"/>
      <c r="BV45" s="259"/>
      <c r="BW45" s="259"/>
      <c r="BX45" s="265"/>
      <c r="BY45" s="267">
        <f t="shared" si="19"/>
        <v>-287911.38842975209</v>
      </c>
      <c r="BZ45" s="564"/>
      <c r="CA45" s="229"/>
      <c r="CB45" s="229"/>
    </row>
    <row r="46" spans="2:82" ht="14.25" customHeight="1" outlineLevel="1">
      <c r="B46" s="569"/>
      <c r="C46" s="257" t="s">
        <v>223</v>
      </c>
      <c r="D46" s="258" t="s">
        <v>191</v>
      </c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  <c r="P46" s="259"/>
      <c r="Q46" s="259"/>
      <c r="R46" s="259"/>
      <c r="S46" s="259"/>
      <c r="T46" s="259"/>
      <c r="U46" s="259"/>
      <c r="V46" s="259"/>
      <c r="W46" s="259"/>
      <c r="X46" s="259"/>
      <c r="Y46" s="259"/>
      <c r="Z46" s="259"/>
      <c r="AA46" s="259"/>
      <c r="AB46" s="259"/>
      <c r="AC46" s="259">
        <f>-Businessplan_prodej!$F$66*0.3</f>
        <v>-68310</v>
      </c>
      <c r="AD46" s="259"/>
      <c r="AE46" s="259"/>
      <c r="AF46" s="259">
        <f>-Businessplan_prodej!$F$66*0.3</f>
        <v>-68310</v>
      </c>
      <c r="AG46" s="259"/>
      <c r="AH46" s="259"/>
      <c r="AI46" s="259"/>
      <c r="AJ46" s="259"/>
      <c r="AK46" s="259">
        <f>-Businessplan_prodej!$F$66*0.2</f>
        <v>-45540</v>
      </c>
      <c r="AL46" s="259">
        <f>-Businessplan_prodej!$F$66*0.2</f>
        <v>-45540</v>
      </c>
      <c r="AM46" s="259">
        <f>-Businessplan_prodej!$F$66*0.2</f>
        <v>-45540</v>
      </c>
      <c r="AN46" s="259"/>
      <c r="AO46" s="259"/>
      <c r="AP46" s="259"/>
      <c r="AQ46" s="259"/>
      <c r="AR46" s="259"/>
      <c r="AS46" s="259"/>
      <c r="AT46" s="259"/>
      <c r="AU46" s="259"/>
      <c r="AV46" s="259"/>
      <c r="AW46" s="259"/>
      <c r="AX46" s="259"/>
      <c r="AY46" s="259"/>
      <c r="AZ46" s="259"/>
      <c r="BA46" s="259"/>
      <c r="BB46" s="259"/>
      <c r="BC46" s="259"/>
      <c r="BD46" s="259"/>
      <c r="BE46" s="259"/>
      <c r="BF46" s="259"/>
      <c r="BG46" s="259"/>
      <c r="BH46" s="259"/>
      <c r="BI46" s="259"/>
      <c r="BJ46" s="259"/>
      <c r="BK46" s="259"/>
      <c r="BL46" s="259"/>
      <c r="BM46" s="259"/>
      <c r="BN46" s="259"/>
      <c r="BO46" s="259"/>
      <c r="BP46" s="259"/>
      <c r="BQ46" s="259"/>
      <c r="BR46" s="259"/>
      <c r="BS46" s="259"/>
      <c r="BT46" s="259"/>
      <c r="BU46" s="259"/>
      <c r="BV46" s="259"/>
      <c r="BW46" s="259"/>
      <c r="BX46" s="265"/>
      <c r="BY46" s="267">
        <f t="shared" si="19"/>
        <v>-273240</v>
      </c>
      <c r="BZ46" s="564"/>
      <c r="CA46" s="229"/>
      <c r="CB46" s="229"/>
    </row>
    <row r="47" spans="2:82" ht="14.25" customHeight="1" outlineLevel="1">
      <c r="B47" s="569"/>
      <c r="C47" s="257" t="s">
        <v>224</v>
      </c>
      <c r="D47" s="258" t="s">
        <v>191</v>
      </c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  <c r="Z47" s="259"/>
      <c r="AA47" s="259"/>
      <c r="AB47" s="259"/>
      <c r="AC47" s="259">
        <f>-Businessplan_prodej!$F$67*0.4</f>
        <v>-91080</v>
      </c>
      <c r="AD47" s="259"/>
      <c r="AE47" s="259"/>
      <c r="AF47" s="259"/>
      <c r="AG47" s="259">
        <f>-Businessplan_prodej!$F$67*0.4</f>
        <v>-91080</v>
      </c>
      <c r="AH47" s="259"/>
      <c r="AI47" s="259"/>
      <c r="AJ47" s="259"/>
      <c r="AK47" s="259">
        <f>-Businessplan_prodej!$F$67*0.2</f>
        <v>-45540</v>
      </c>
      <c r="AL47" s="259">
        <f>-Businessplan_prodej!$F$67*0.2</f>
        <v>-45540</v>
      </c>
      <c r="AM47" s="259">
        <f>-Businessplan_prodej!$F$67*0.2</f>
        <v>-45540</v>
      </c>
      <c r="AN47" s="259"/>
      <c r="AO47" s="259"/>
      <c r="AP47" s="259"/>
      <c r="AQ47" s="259"/>
      <c r="AR47" s="259"/>
      <c r="AS47" s="259"/>
      <c r="AT47" s="259"/>
      <c r="AU47" s="259"/>
      <c r="AV47" s="259"/>
      <c r="AW47" s="259"/>
      <c r="AX47" s="259"/>
      <c r="AY47" s="259"/>
      <c r="AZ47" s="259"/>
      <c r="BA47" s="259"/>
      <c r="BB47" s="259"/>
      <c r="BC47" s="259"/>
      <c r="BD47" s="259"/>
      <c r="BE47" s="259"/>
      <c r="BF47" s="259"/>
      <c r="BG47" s="259"/>
      <c r="BH47" s="259"/>
      <c r="BI47" s="259"/>
      <c r="BJ47" s="259"/>
      <c r="BK47" s="259"/>
      <c r="BL47" s="259"/>
      <c r="BM47" s="259"/>
      <c r="BN47" s="259"/>
      <c r="BO47" s="259"/>
      <c r="BP47" s="259"/>
      <c r="BQ47" s="259"/>
      <c r="BR47" s="259"/>
      <c r="BS47" s="259"/>
      <c r="BT47" s="259"/>
      <c r="BU47" s="259"/>
      <c r="BV47" s="259"/>
      <c r="BW47" s="259"/>
      <c r="BX47" s="265"/>
      <c r="BY47" s="267">
        <f t="shared" si="19"/>
        <v>-318780</v>
      </c>
      <c r="BZ47" s="564"/>
      <c r="CA47" s="229"/>
      <c r="CB47" s="229"/>
    </row>
    <row r="48" spans="2:82" ht="14.25" customHeight="1" outlineLevel="1">
      <c r="B48" s="569"/>
      <c r="C48" s="257" t="s">
        <v>225</v>
      </c>
      <c r="D48" s="261" t="s">
        <v>191</v>
      </c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  <c r="AA48" s="259"/>
      <c r="AB48" s="259"/>
      <c r="AC48" s="259"/>
      <c r="AD48" s="259">
        <f>-Businessplan_prodej!$F$68/2</f>
        <v>-709678.25</v>
      </c>
      <c r="AE48" s="259"/>
      <c r="AF48" s="259"/>
      <c r="AG48" s="259"/>
      <c r="AH48" s="259"/>
      <c r="AI48" s="259"/>
      <c r="AJ48" s="259"/>
      <c r="AK48" s="259"/>
      <c r="AL48" s="259">
        <f>-Businessplan_prodej!$F$68/2</f>
        <v>-709678.25</v>
      </c>
      <c r="AM48" s="259">
        <f>-Businessplan_prodej!$F$68/2</f>
        <v>-709678.25</v>
      </c>
      <c r="AN48" s="259"/>
      <c r="AO48" s="259"/>
      <c r="AP48" s="259"/>
      <c r="AQ48" s="259"/>
      <c r="AR48" s="259"/>
      <c r="AS48" s="259"/>
      <c r="AT48" s="259"/>
      <c r="AU48" s="259"/>
      <c r="AV48" s="259"/>
      <c r="AW48" s="259"/>
      <c r="AX48" s="259"/>
      <c r="AY48" s="259"/>
      <c r="AZ48" s="259"/>
      <c r="BA48" s="259"/>
      <c r="BB48" s="259"/>
      <c r="BC48" s="259"/>
      <c r="BD48" s="259"/>
      <c r="BE48" s="259"/>
      <c r="BF48" s="259"/>
      <c r="BG48" s="259"/>
      <c r="BH48" s="259"/>
      <c r="BI48" s="259"/>
      <c r="BJ48" s="259"/>
      <c r="BK48" s="259"/>
      <c r="BL48" s="259"/>
      <c r="BM48" s="259"/>
      <c r="BN48" s="259"/>
      <c r="BO48" s="259"/>
      <c r="BP48" s="259"/>
      <c r="BQ48" s="259"/>
      <c r="BR48" s="259"/>
      <c r="BS48" s="259"/>
      <c r="BT48" s="259"/>
      <c r="BU48" s="259"/>
      <c r="BV48" s="259"/>
      <c r="BW48" s="259"/>
      <c r="BX48" s="265"/>
      <c r="BY48" s="267">
        <f t="shared" si="19"/>
        <v>-2129034.75</v>
      </c>
      <c r="BZ48" s="564"/>
      <c r="CA48" s="229"/>
      <c r="CB48" s="229"/>
    </row>
    <row r="49" spans="2:83" ht="15.95">
      <c r="B49" s="569"/>
      <c r="C49" s="252" t="s">
        <v>226</v>
      </c>
      <c r="D49" s="253"/>
      <c r="E49" s="254">
        <f t="shared" ref="E49:BX49" si="24">SUM(E50:E54)</f>
        <v>0</v>
      </c>
      <c r="F49" s="254">
        <f t="shared" si="24"/>
        <v>0</v>
      </c>
      <c r="G49" s="254">
        <f t="shared" si="24"/>
        <v>0</v>
      </c>
      <c r="H49" s="254">
        <f t="shared" si="24"/>
        <v>0</v>
      </c>
      <c r="I49" s="254">
        <f t="shared" si="24"/>
        <v>0</v>
      </c>
      <c r="J49" s="254">
        <f t="shared" si="24"/>
        <v>0</v>
      </c>
      <c r="K49" s="254">
        <f t="shared" si="24"/>
        <v>-600</v>
      </c>
      <c r="L49" s="254">
        <f t="shared" si="24"/>
        <v>-699.1</v>
      </c>
      <c r="M49" s="254">
        <f t="shared" si="24"/>
        <v>-607.44000000000005</v>
      </c>
      <c r="N49" s="254">
        <f t="shared" si="24"/>
        <v>-621</v>
      </c>
      <c r="O49" s="254">
        <f t="shared" si="24"/>
        <v>-935</v>
      </c>
      <c r="P49" s="254">
        <f t="shared" si="24"/>
        <v>-921</v>
      </c>
      <c r="Q49" s="254">
        <f t="shared" si="24"/>
        <v>-935</v>
      </c>
      <c r="R49" s="254">
        <f t="shared" si="24"/>
        <v>-628</v>
      </c>
      <c r="S49" s="254">
        <f t="shared" si="24"/>
        <v>-635</v>
      </c>
      <c r="T49" s="254">
        <f t="shared" si="24"/>
        <v>-649</v>
      </c>
      <c r="U49" s="254">
        <f t="shared" si="24"/>
        <v>-628</v>
      </c>
      <c r="V49" s="254">
        <f t="shared" si="24"/>
        <v>-663</v>
      </c>
      <c r="W49" s="254">
        <f t="shared" si="24"/>
        <v>-663</v>
      </c>
      <c r="X49" s="254">
        <f t="shared" si="24"/>
        <v>-628</v>
      </c>
      <c r="Y49" s="254">
        <f t="shared" si="24"/>
        <v>-621</v>
      </c>
      <c r="Z49" s="254">
        <f t="shared" si="24"/>
        <v>-614</v>
      </c>
      <c r="AA49" s="254">
        <f t="shared" si="24"/>
        <v>-635</v>
      </c>
      <c r="AB49" s="254">
        <f t="shared" si="24"/>
        <v>-628</v>
      </c>
      <c r="AC49" s="254">
        <f t="shared" si="24"/>
        <v>-134869.03677273751</v>
      </c>
      <c r="AD49" s="254">
        <f t="shared" si="24"/>
        <v>-1000</v>
      </c>
      <c r="AE49" s="254">
        <f t="shared" si="24"/>
        <v>-1000</v>
      </c>
      <c r="AF49" s="254">
        <f t="shared" si="24"/>
        <v>-1000</v>
      </c>
      <c r="AG49" s="254">
        <f t="shared" si="24"/>
        <v>-1000</v>
      </c>
      <c r="AH49" s="254">
        <f t="shared" si="24"/>
        <v>-1000</v>
      </c>
      <c r="AI49" s="254">
        <f t="shared" si="24"/>
        <v>-1000</v>
      </c>
      <c r="AJ49" s="254">
        <f t="shared" si="24"/>
        <v>-1000</v>
      </c>
      <c r="AK49" s="254">
        <f t="shared" si="24"/>
        <v>-1000</v>
      </c>
      <c r="AL49" s="254">
        <f t="shared" si="24"/>
        <v>-1000</v>
      </c>
      <c r="AM49" s="254">
        <f t="shared" si="24"/>
        <v>-1000</v>
      </c>
      <c r="AN49" s="254">
        <f t="shared" si="24"/>
        <v>0</v>
      </c>
      <c r="AO49" s="254">
        <f t="shared" si="24"/>
        <v>0</v>
      </c>
      <c r="AP49" s="254">
        <f t="shared" si="24"/>
        <v>0</v>
      </c>
      <c r="AQ49" s="254">
        <f t="shared" si="24"/>
        <v>0</v>
      </c>
      <c r="AR49" s="254">
        <f t="shared" si="24"/>
        <v>0</v>
      </c>
      <c r="AS49" s="254">
        <f t="shared" si="24"/>
        <v>0</v>
      </c>
      <c r="AT49" s="254">
        <f t="shared" si="24"/>
        <v>0</v>
      </c>
      <c r="AU49" s="254">
        <f t="shared" si="24"/>
        <v>0</v>
      </c>
      <c r="AV49" s="254">
        <f t="shared" si="24"/>
        <v>0</v>
      </c>
      <c r="AW49" s="254">
        <f t="shared" si="24"/>
        <v>0</v>
      </c>
      <c r="AX49" s="254">
        <f t="shared" si="24"/>
        <v>0</v>
      </c>
      <c r="AY49" s="254">
        <f t="shared" si="24"/>
        <v>0</v>
      </c>
      <c r="AZ49" s="254">
        <f t="shared" si="24"/>
        <v>0</v>
      </c>
      <c r="BA49" s="254">
        <f t="shared" si="24"/>
        <v>0</v>
      </c>
      <c r="BB49" s="254">
        <f t="shared" si="24"/>
        <v>0</v>
      </c>
      <c r="BC49" s="254">
        <f t="shared" si="24"/>
        <v>0</v>
      </c>
      <c r="BD49" s="254">
        <f t="shared" si="24"/>
        <v>0</v>
      </c>
      <c r="BE49" s="254">
        <f t="shared" si="24"/>
        <v>0</v>
      </c>
      <c r="BF49" s="254">
        <f t="shared" si="24"/>
        <v>0</v>
      </c>
      <c r="BG49" s="254">
        <f t="shared" si="24"/>
        <v>0</v>
      </c>
      <c r="BH49" s="254">
        <f t="shared" si="24"/>
        <v>0</v>
      </c>
      <c r="BI49" s="254">
        <f t="shared" si="24"/>
        <v>0</v>
      </c>
      <c r="BJ49" s="254">
        <f t="shared" si="24"/>
        <v>0</v>
      </c>
      <c r="BK49" s="254">
        <f t="shared" si="24"/>
        <v>0</v>
      </c>
      <c r="BL49" s="254">
        <f t="shared" si="24"/>
        <v>0</v>
      </c>
      <c r="BM49" s="254">
        <f t="shared" si="24"/>
        <v>0</v>
      </c>
      <c r="BN49" s="254">
        <f t="shared" si="24"/>
        <v>0</v>
      </c>
      <c r="BO49" s="254">
        <f t="shared" si="24"/>
        <v>0</v>
      </c>
      <c r="BP49" s="254">
        <f t="shared" si="24"/>
        <v>0</v>
      </c>
      <c r="BQ49" s="254">
        <f t="shared" si="24"/>
        <v>0</v>
      </c>
      <c r="BR49" s="254">
        <f t="shared" si="24"/>
        <v>0</v>
      </c>
      <c r="BS49" s="254">
        <f t="shared" si="24"/>
        <v>0</v>
      </c>
      <c r="BT49" s="254">
        <f t="shared" si="24"/>
        <v>0</v>
      </c>
      <c r="BU49" s="254">
        <f t="shared" si="24"/>
        <v>0</v>
      </c>
      <c r="BV49" s="254">
        <f t="shared" si="24"/>
        <v>0</v>
      </c>
      <c r="BW49" s="254">
        <f t="shared" si="24"/>
        <v>0</v>
      </c>
      <c r="BX49" s="254">
        <f t="shared" si="24"/>
        <v>0</v>
      </c>
      <c r="BY49" s="256">
        <f>SUM(BY50:BY54)</f>
        <v>-157179.57677273752</v>
      </c>
      <c r="BZ49" s="564"/>
      <c r="CA49" s="229"/>
      <c r="CB49" s="229"/>
      <c r="CC49" s="229"/>
      <c r="CD49" s="229"/>
      <c r="CE49" s="229"/>
    </row>
    <row r="50" spans="2:83" ht="15" customHeight="1" outlineLevel="1">
      <c r="B50" s="569"/>
      <c r="C50" s="257" t="s">
        <v>227</v>
      </c>
      <c r="D50" s="258" t="s">
        <v>191</v>
      </c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59"/>
      <c r="AB50" s="259"/>
      <c r="AC50" s="259">
        <f>-Businessplan_prodej!$F$76</f>
        <v>-133869.03677273751</v>
      </c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59"/>
      <c r="AQ50" s="259"/>
      <c r="AR50" s="259"/>
      <c r="AS50" s="259"/>
      <c r="AT50" s="259"/>
      <c r="AU50" s="259"/>
      <c r="AV50" s="259"/>
      <c r="AW50" s="259"/>
      <c r="AX50" s="259"/>
      <c r="AY50" s="259"/>
      <c r="AZ50" s="259"/>
      <c r="BA50" s="259"/>
      <c r="BB50" s="259"/>
      <c r="BC50" s="259"/>
      <c r="BD50" s="259"/>
      <c r="BE50" s="259"/>
      <c r="BF50" s="259"/>
      <c r="BG50" s="259"/>
      <c r="BH50" s="259"/>
      <c r="BI50" s="259"/>
      <c r="BJ50" s="259"/>
      <c r="BK50" s="259"/>
      <c r="BL50" s="259"/>
      <c r="BM50" s="259"/>
      <c r="BN50" s="259"/>
      <c r="BO50" s="259"/>
      <c r="BP50" s="259"/>
      <c r="BQ50" s="259"/>
      <c r="BR50" s="259"/>
      <c r="BS50" s="259"/>
      <c r="BT50" s="259"/>
      <c r="BU50" s="259"/>
      <c r="BV50" s="259"/>
      <c r="BW50" s="259"/>
      <c r="BX50" s="265"/>
      <c r="BY50" s="266">
        <f t="shared" ref="BY50:BY54" si="25">SUM(E50:BX50)</f>
        <v>-133869.03677273751</v>
      </c>
      <c r="BZ50" s="564"/>
      <c r="CA50" s="229"/>
      <c r="CB50" s="229"/>
      <c r="CC50" s="229"/>
      <c r="CD50" s="229"/>
      <c r="CE50" s="229"/>
    </row>
    <row r="51" spans="2:83" ht="15" customHeight="1" outlineLevel="1">
      <c r="B51" s="569"/>
      <c r="C51" s="257" t="s">
        <v>228</v>
      </c>
      <c r="D51" s="258" t="s">
        <v>191</v>
      </c>
      <c r="E51" s="259"/>
      <c r="F51" s="259"/>
      <c r="G51" s="259"/>
      <c r="H51" s="259"/>
      <c r="I51" s="259"/>
      <c r="J51" s="259"/>
      <c r="K51" s="259"/>
      <c r="L51" s="259"/>
      <c r="M51" s="259"/>
      <c r="N51" s="259"/>
      <c r="O51" s="259"/>
      <c r="P51" s="259"/>
      <c r="Q51" s="259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9"/>
      <c r="AL51" s="259"/>
      <c r="AM51" s="259"/>
      <c r="AN51" s="259"/>
      <c r="AO51" s="259"/>
      <c r="AP51" s="259"/>
      <c r="AQ51" s="259"/>
      <c r="AR51" s="259"/>
      <c r="AS51" s="259"/>
      <c r="AT51" s="259"/>
      <c r="AU51" s="259"/>
      <c r="AV51" s="259"/>
      <c r="AW51" s="259"/>
      <c r="AX51" s="259"/>
      <c r="AY51" s="259"/>
      <c r="AZ51" s="259"/>
      <c r="BA51" s="259"/>
      <c r="BB51" s="259"/>
      <c r="BC51" s="259"/>
      <c r="BD51" s="259"/>
      <c r="BE51" s="259"/>
      <c r="BF51" s="259"/>
      <c r="BG51" s="259"/>
      <c r="BH51" s="259"/>
      <c r="BI51" s="259"/>
      <c r="BJ51" s="259"/>
      <c r="BK51" s="259"/>
      <c r="BL51" s="259"/>
      <c r="BM51" s="259"/>
      <c r="BN51" s="259"/>
      <c r="BO51" s="259"/>
      <c r="BP51" s="259"/>
      <c r="BQ51" s="259"/>
      <c r="BR51" s="259"/>
      <c r="BS51" s="259"/>
      <c r="BT51" s="259"/>
      <c r="BU51" s="259"/>
      <c r="BV51" s="259"/>
      <c r="BW51" s="259"/>
      <c r="BX51" s="265"/>
      <c r="BY51" s="266">
        <f t="shared" si="25"/>
        <v>0</v>
      </c>
      <c r="BZ51" s="564"/>
      <c r="CA51" s="229"/>
      <c r="CB51" s="229"/>
      <c r="CC51" s="229"/>
      <c r="CD51" s="229"/>
      <c r="CE51" s="229"/>
    </row>
    <row r="52" spans="2:83" ht="15" customHeight="1" outlineLevel="1">
      <c r="B52" s="569"/>
      <c r="C52" s="257" t="s">
        <v>229</v>
      </c>
      <c r="D52" s="258" t="s">
        <v>191</v>
      </c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9"/>
      <c r="AH52" s="259"/>
      <c r="AI52" s="259"/>
      <c r="AJ52" s="259"/>
      <c r="AK52" s="259"/>
      <c r="AL52" s="259"/>
      <c r="AM52" s="259"/>
      <c r="AN52" s="259"/>
      <c r="AO52" s="259"/>
      <c r="AP52" s="259"/>
      <c r="AQ52" s="259"/>
      <c r="AR52" s="259"/>
      <c r="AS52" s="259"/>
      <c r="AT52" s="259"/>
      <c r="AU52" s="259"/>
      <c r="AV52" s="259"/>
      <c r="AW52" s="259"/>
      <c r="AX52" s="259"/>
      <c r="AY52" s="259"/>
      <c r="AZ52" s="259"/>
      <c r="BA52" s="259"/>
      <c r="BB52" s="259"/>
      <c r="BC52" s="259"/>
      <c r="BD52" s="259"/>
      <c r="BE52" s="259"/>
      <c r="BF52" s="259"/>
      <c r="BG52" s="259"/>
      <c r="BH52" s="259"/>
      <c r="BI52" s="259"/>
      <c r="BJ52" s="259"/>
      <c r="BK52" s="259"/>
      <c r="BL52" s="259"/>
      <c r="BM52" s="259"/>
      <c r="BN52" s="259"/>
      <c r="BO52" s="259"/>
      <c r="BP52" s="259"/>
      <c r="BQ52" s="259"/>
      <c r="BR52" s="259"/>
      <c r="BS52" s="259"/>
      <c r="BT52" s="259"/>
      <c r="BU52" s="259"/>
      <c r="BV52" s="259"/>
      <c r="BW52" s="259"/>
      <c r="BX52" s="265"/>
      <c r="BY52" s="266">
        <f t="shared" si="25"/>
        <v>0</v>
      </c>
      <c r="BZ52" s="564"/>
      <c r="CA52" s="229"/>
      <c r="CB52" s="229"/>
      <c r="CC52" s="229"/>
      <c r="CD52" s="229"/>
      <c r="CE52" s="229"/>
    </row>
    <row r="53" spans="2:83" ht="15" customHeight="1" outlineLevel="1">
      <c r="B53" s="569"/>
      <c r="C53" s="257" t="s">
        <v>230</v>
      </c>
      <c r="D53" s="258" t="s">
        <v>191</v>
      </c>
      <c r="E53" s="259"/>
      <c r="F53" s="259"/>
      <c r="G53" s="259"/>
      <c r="H53" s="259"/>
      <c r="I53" s="259"/>
      <c r="J53" s="259"/>
      <c r="K53" s="259">
        <f>-400-200</f>
        <v>-600</v>
      </c>
      <c r="L53" s="259">
        <f>-50-2.1-3-400-12-6-20-200-6</f>
        <v>-699.1</v>
      </c>
      <c r="M53" s="259">
        <f>-400-2-5-200-0.44</f>
        <v>-607.44000000000005</v>
      </c>
      <c r="N53" s="259">
        <f>-3-400-2-5-200-3-8</f>
        <v>-621</v>
      </c>
      <c r="O53" s="259">
        <f>-300-6-4-400-12-10-200-3</f>
        <v>-935</v>
      </c>
      <c r="P53" s="259">
        <f>-300-400-2-5-200-8-6</f>
        <v>-921</v>
      </c>
      <c r="Q53" s="259">
        <f>-300-20-15-400-200</f>
        <v>-935</v>
      </c>
      <c r="R53" s="259">
        <f>-400-12-200-16</f>
        <v>-628</v>
      </c>
      <c r="S53" s="259">
        <f>-6-20-9-400-200</f>
        <v>-635</v>
      </c>
      <c r="T53" s="259">
        <f>-400-2-5-200-3-24-15</f>
        <v>-649</v>
      </c>
      <c r="U53" s="259">
        <f>-4-400-10-200-8-6</f>
        <v>-628</v>
      </c>
      <c r="V53" s="259">
        <f>-12-15-4-400-200-24-6-2</f>
        <v>-663</v>
      </c>
      <c r="W53" s="259">
        <f>-20-9-400-6-20-200-6-2</f>
        <v>-663</v>
      </c>
      <c r="X53" s="259">
        <f>-400-2-10-200-8-6-2</f>
        <v>-628</v>
      </c>
      <c r="Y53" s="259">
        <f>-400-5-200-8-6-2</f>
        <v>-621</v>
      </c>
      <c r="Z53" s="259">
        <f>-400-200-8-6</f>
        <v>-614</v>
      </c>
      <c r="AA53" s="259">
        <f>-400-12-5-200-2-16</f>
        <v>-635</v>
      </c>
      <c r="AB53" s="259">
        <f>-3-400-12-5-200-6-2</f>
        <v>-628</v>
      </c>
      <c r="AC53" s="259">
        <f>-Businessplan_prodej!$E$79</f>
        <v>-1000</v>
      </c>
      <c r="AD53" s="259">
        <f>-Businessplan_prodej!$E$79</f>
        <v>-1000</v>
      </c>
      <c r="AE53" s="259">
        <f>-Businessplan_prodej!$E$79</f>
        <v>-1000</v>
      </c>
      <c r="AF53" s="259">
        <f>-Businessplan_prodej!$E$79</f>
        <v>-1000</v>
      </c>
      <c r="AG53" s="259">
        <f>-Businessplan_prodej!$E$79</f>
        <v>-1000</v>
      </c>
      <c r="AH53" s="259">
        <f>-Businessplan_prodej!$E$79</f>
        <v>-1000</v>
      </c>
      <c r="AI53" s="259">
        <f>-Businessplan_prodej!$E$79</f>
        <v>-1000</v>
      </c>
      <c r="AJ53" s="259">
        <f>-Businessplan_prodej!$E$79</f>
        <v>-1000</v>
      </c>
      <c r="AK53" s="259">
        <f>-Businessplan_prodej!$E$79</f>
        <v>-1000</v>
      </c>
      <c r="AL53" s="259">
        <f>-Businessplan_prodej!$E$79</f>
        <v>-1000</v>
      </c>
      <c r="AM53" s="259">
        <f>-Businessplan_prodej!$E$79</f>
        <v>-1000</v>
      </c>
      <c r="AN53" s="259"/>
      <c r="AO53" s="259"/>
      <c r="AP53" s="259"/>
      <c r="AQ53" s="259"/>
      <c r="AR53" s="259"/>
      <c r="AS53" s="259"/>
      <c r="AT53" s="259"/>
      <c r="AU53" s="259"/>
      <c r="AV53" s="259"/>
      <c r="AW53" s="259"/>
      <c r="AX53" s="259"/>
      <c r="AY53" s="259"/>
      <c r="AZ53" s="259"/>
      <c r="BA53" s="259"/>
      <c r="BB53" s="259"/>
      <c r="BC53" s="259"/>
      <c r="BD53" s="259"/>
      <c r="BE53" s="259"/>
      <c r="BF53" s="259"/>
      <c r="BG53" s="259"/>
      <c r="BH53" s="259"/>
      <c r="BI53" s="259"/>
      <c r="BJ53" s="259"/>
      <c r="BK53" s="259"/>
      <c r="BL53" s="259"/>
      <c r="BM53" s="259"/>
      <c r="BN53" s="259"/>
      <c r="BO53" s="259"/>
      <c r="BP53" s="259"/>
      <c r="BQ53" s="259"/>
      <c r="BR53" s="259"/>
      <c r="BS53" s="259"/>
      <c r="BT53" s="259"/>
      <c r="BU53" s="259"/>
      <c r="BV53" s="259"/>
      <c r="BW53" s="259"/>
      <c r="BX53" s="265"/>
      <c r="BY53" s="267">
        <f t="shared" si="25"/>
        <v>-23310.54</v>
      </c>
      <c r="BZ53" s="564"/>
      <c r="CA53" s="229"/>
      <c r="CB53" s="229"/>
      <c r="CC53" s="229"/>
      <c r="CD53" s="229"/>
      <c r="CE53" s="229"/>
    </row>
    <row r="54" spans="2:83" ht="15" customHeight="1" outlineLevel="1">
      <c r="B54" s="569"/>
      <c r="C54" s="257" t="s">
        <v>231</v>
      </c>
      <c r="D54" s="261" t="s">
        <v>191</v>
      </c>
      <c r="E54" s="262"/>
      <c r="F54" s="262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59"/>
      <c r="AH54" s="259"/>
      <c r="AI54" s="259"/>
      <c r="AJ54" s="259"/>
      <c r="AK54" s="259"/>
      <c r="AL54" s="259"/>
      <c r="AM54" s="259"/>
      <c r="AN54" s="259"/>
      <c r="AO54" s="259"/>
      <c r="AP54" s="259"/>
      <c r="AQ54" s="259"/>
      <c r="AR54" s="259"/>
      <c r="AS54" s="259"/>
      <c r="AT54" s="259"/>
      <c r="AU54" s="259"/>
      <c r="AV54" s="259"/>
      <c r="AW54" s="259"/>
      <c r="AX54" s="259"/>
      <c r="AY54" s="259"/>
      <c r="AZ54" s="259"/>
      <c r="BA54" s="259"/>
      <c r="BB54" s="259"/>
      <c r="BC54" s="259"/>
      <c r="BD54" s="259"/>
      <c r="BE54" s="259"/>
      <c r="BF54" s="259"/>
      <c r="BG54" s="259"/>
      <c r="BH54" s="259"/>
      <c r="BI54" s="259"/>
      <c r="BJ54" s="259"/>
      <c r="BK54" s="259"/>
      <c r="BL54" s="259"/>
      <c r="BM54" s="259"/>
      <c r="BN54" s="259"/>
      <c r="BO54" s="259"/>
      <c r="BP54" s="259"/>
      <c r="BQ54" s="259"/>
      <c r="BR54" s="259"/>
      <c r="BS54" s="259"/>
      <c r="BT54" s="259"/>
      <c r="BU54" s="259"/>
      <c r="BV54" s="259"/>
      <c r="BW54" s="259"/>
      <c r="BX54" s="265"/>
      <c r="BY54" s="269">
        <f t="shared" si="25"/>
        <v>0</v>
      </c>
      <c r="BZ54" s="564"/>
      <c r="CA54" s="229"/>
      <c r="CB54" s="229"/>
      <c r="CC54" s="229"/>
      <c r="CD54" s="229"/>
      <c r="CE54" s="229"/>
    </row>
    <row r="55" spans="2:83" ht="15" customHeight="1" collapsed="1">
      <c r="B55" s="569"/>
      <c r="C55" s="252" t="s">
        <v>232</v>
      </c>
      <c r="D55" s="253"/>
      <c r="E55" s="254">
        <f t="shared" ref="E55:BX55" si="26">SUM(E56:E62)</f>
        <v>0</v>
      </c>
      <c r="F55" s="254">
        <f t="shared" si="26"/>
        <v>0</v>
      </c>
      <c r="G55" s="254">
        <f t="shared" si="26"/>
        <v>0</v>
      </c>
      <c r="H55" s="254">
        <f t="shared" si="26"/>
        <v>0</v>
      </c>
      <c r="I55" s="254">
        <f t="shared" si="26"/>
        <v>0</v>
      </c>
      <c r="J55" s="254">
        <f t="shared" si="26"/>
        <v>0</v>
      </c>
      <c r="K55" s="254">
        <f t="shared" si="26"/>
        <v>0</v>
      </c>
      <c r="L55" s="254">
        <f t="shared" si="26"/>
        <v>0</v>
      </c>
      <c r="M55" s="254">
        <f t="shared" si="26"/>
        <v>0</v>
      </c>
      <c r="N55" s="254">
        <f t="shared" si="26"/>
        <v>0</v>
      </c>
      <c r="O55" s="254">
        <f t="shared" si="26"/>
        <v>0</v>
      </c>
      <c r="P55" s="254">
        <f t="shared" si="26"/>
        <v>0</v>
      </c>
      <c r="Q55" s="254">
        <f t="shared" si="26"/>
        <v>-113313</v>
      </c>
      <c r="R55" s="254">
        <f t="shared" si="26"/>
        <v>0</v>
      </c>
      <c r="S55" s="254">
        <f t="shared" si="26"/>
        <v>0</v>
      </c>
      <c r="T55" s="254">
        <f t="shared" si="26"/>
        <v>0</v>
      </c>
      <c r="U55" s="254">
        <f t="shared" si="26"/>
        <v>0</v>
      </c>
      <c r="V55" s="254">
        <f t="shared" si="26"/>
        <v>0</v>
      </c>
      <c r="W55" s="254">
        <f t="shared" si="26"/>
        <v>0</v>
      </c>
      <c r="X55" s="254">
        <f t="shared" si="26"/>
        <v>0</v>
      </c>
      <c r="Y55" s="254">
        <f t="shared" si="26"/>
        <v>0</v>
      </c>
      <c r="Z55" s="254">
        <f t="shared" si="26"/>
        <v>0</v>
      </c>
      <c r="AA55" s="254">
        <f t="shared" si="26"/>
        <v>0</v>
      </c>
      <c r="AB55" s="254">
        <f t="shared" si="26"/>
        <v>0</v>
      </c>
      <c r="AC55" s="254">
        <f t="shared" si="26"/>
        <v>0</v>
      </c>
      <c r="AD55" s="254">
        <f t="shared" si="26"/>
        <v>0</v>
      </c>
      <c r="AE55" s="254">
        <f t="shared" si="26"/>
        <v>-46666.666666666664</v>
      </c>
      <c r="AF55" s="254">
        <f t="shared" si="26"/>
        <v>-93333.333333333328</v>
      </c>
      <c r="AG55" s="254">
        <f t="shared" si="26"/>
        <v>-140000</v>
      </c>
      <c r="AH55" s="254">
        <f t="shared" si="26"/>
        <v>-173333.33333333334</v>
      </c>
      <c r="AI55" s="254">
        <f t="shared" si="26"/>
        <v>-213333.33333333334</v>
      </c>
      <c r="AJ55" s="254">
        <f t="shared" si="26"/>
        <v>-266666.66666666669</v>
      </c>
      <c r="AK55" s="254">
        <f t="shared" si="26"/>
        <v>-315333.33333333331</v>
      </c>
      <c r="AL55" s="254">
        <f t="shared" si="26"/>
        <v>-373333.33333333331</v>
      </c>
      <c r="AM55" s="254">
        <f t="shared" si="26"/>
        <v>-4677780.1033333354</v>
      </c>
      <c r="AN55" s="254">
        <f t="shared" si="26"/>
        <v>0</v>
      </c>
      <c r="AO55" s="254">
        <f t="shared" si="26"/>
        <v>0</v>
      </c>
      <c r="AP55" s="254">
        <f t="shared" si="26"/>
        <v>0</v>
      </c>
      <c r="AQ55" s="254">
        <f t="shared" si="26"/>
        <v>0</v>
      </c>
      <c r="AR55" s="254">
        <f t="shared" si="26"/>
        <v>0</v>
      </c>
      <c r="AS55" s="254">
        <f t="shared" si="26"/>
        <v>0</v>
      </c>
      <c r="AT55" s="254">
        <f t="shared" si="26"/>
        <v>0</v>
      </c>
      <c r="AU55" s="254">
        <f t="shared" si="26"/>
        <v>0</v>
      </c>
      <c r="AV55" s="254">
        <f t="shared" si="26"/>
        <v>0</v>
      </c>
      <c r="AW55" s="254">
        <f t="shared" si="26"/>
        <v>0</v>
      </c>
      <c r="AX55" s="254">
        <f t="shared" si="26"/>
        <v>0</v>
      </c>
      <c r="AY55" s="254">
        <f t="shared" si="26"/>
        <v>0</v>
      </c>
      <c r="AZ55" s="254">
        <f t="shared" si="26"/>
        <v>0</v>
      </c>
      <c r="BA55" s="254">
        <f t="shared" si="26"/>
        <v>0</v>
      </c>
      <c r="BB55" s="254">
        <f t="shared" si="26"/>
        <v>0</v>
      </c>
      <c r="BC55" s="254">
        <f t="shared" si="26"/>
        <v>0</v>
      </c>
      <c r="BD55" s="254">
        <f t="shared" si="26"/>
        <v>0</v>
      </c>
      <c r="BE55" s="254">
        <f t="shared" si="26"/>
        <v>0</v>
      </c>
      <c r="BF55" s="254">
        <f t="shared" si="26"/>
        <v>0</v>
      </c>
      <c r="BG55" s="254">
        <f t="shared" si="26"/>
        <v>0</v>
      </c>
      <c r="BH55" s="254">
        <f t="shared" si="26"/>
        <v>0</v>
      </c>
      <c r="BI55" s="254">
        <f t="shared" si="26"/>
        <v>0</v>
      </c>
      <c r="BJ55" s="254">
        <f t="shared" si="26"/>
        <v>0</v>
      </c>
      <c r="BK55" s="254">
        <f t="shared" si="26"/>
        <v>0</v>
      </c>
      <c r="BL55" s="254">
        <f t="shared" si="26"/>
        <v>0</v>
      </c>
      <c r="BM55" s="254">
        <f t="shared" si="26"/>
        <v>0</v>
      </c>
      <c r="BN55" s="254">
        <f t="shared" si="26"/>
        <v>0</v>
      </c>
      <c r="BO55" s="254">
        <f t="shared" si="26"/>
        <v>0</v>
      </c>
      <c r="BP55" s="254">
        <f t="shared" si="26"/>
        <v>0</v>
      </c>
      <c r="BQ55" s="254">
        <f t="shared" si="26"/>
        <v>0</v>
      </c>
      <c r="BR55" s="254">
        <f t="shared" si="26"/>
        <v>0</v>
      </c>
      <c r="BS55" s="254">
        <f t="shared" si="26"/>
        <v>0</v>
      </c>
      <c r="BT55" s="254">
        <f t="shared" si="26"/>
        <v>0</v>
      </c>
      <c r="BU55" s="254">
        <f t="shared" si="26"/>
        <v>0</v>
      </c>
      <c r="BV55" s="254">
        <f t="shared" si="26"/>
        <v>0</v>
      </c>
      <c r="BW55" s="254">
        <f t="shared" si="26"/>
        <v>0</v>
      </c>
      <c r="BX55" s="254">
        <f t="shared" si="26"/>
        <v>0</v>
      </c>
      <c r="BY55" s="256">
        <f>SUM(BY56:BY62)</f>
        <v>-6413093.1033333354</v>
      </c>
      <c r="BZ55" s="564"/>
      <c r="CA55" s="229"/>
      <c r="CB55" s="229"/>
      <c r="CC55" s="229"/>
      <c r="CD55" s="229"/>
      <c r="CE55" s="229"/>
    </row>
    <row r="56" spans="2:83" ht="15" hidden="1" customHeight="1" outlineLevel="1">
      <c r="B56" s="569"/>
      <c r="C56" s="257" t="s">
        <v>233</v>
      </c>
      <c r="D56" s="274">
        <v>0.11</v>
      </c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>
        <f>-113313</f>
        <v>-113313</v>
      </c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59"/>
      <c r="AH56" s="259"/>
      <c r="AI56" s="259"/>
      <c r="AJ56" s="259"/>
      <c r="AK56" s="259"/>
      <c r="AL56" s="259"/>
      <c r="AM56" s="259">
        <f>-SUM(' Interest Calc'!E12:E41)-' Interest Calc'!E41</f>
        <v>-911158.34333333361</v>
      </c>
      <c r="AN56" s="259"/>
      <c r="AO56" s="259"/>
      <c r="AP56" s="259"/>
      <c r="AQ56" s="259"/>
      <c r="AR56" s="259"/>
      <c r="AS56" s="259"/>
      <c r="AT56" s="259"/>
      <c r="AU56" s="259"/>
      <c r="AV56" s="259"/>
      <c r="AW56" s="259"/>
      <c r="AX56" s="259"/>
      <c r="AY56" s="259"/>
      <c r="AZ56" s="259"/>
      <c r="BA56" s="259"/>
      <c r="BB56" s="259"/>
      <c r="BC56" s="259"/>
      <c r="BD56" s="259"/>
      <c r="BE56" s="259"/>
      <c r="BF56" s="259"/>
      <c r="BG56" s="259"/>
      <c r="BH56" s="259"/>
      <c r="BI56" s="259"/>
      <c r="BJ56" s="259"/>
      <c r="BK56" s="259"/>
      <c r="BL56" s="259"/>
      <c r="BM56" s="265"/>
      <c r="BN56" s="265"/>
      <c r="BO56" s="265"/>
      <c r="BP56" s="265"/>
      <c r="BQ56" s="265"/>
      <c r="BR56" s="265"/>
      <c r="BS56" s="265"/>
      <c r="BT56" s="265"/>
      <c r="BU56" s="265"/>
      <c r="BV56" s="265"/>
      <c r="BW56" s="265"/>
      <c r="BX56" s="265"/>
      <c r="BY56" s="275">
        <f t="shared" ref="BY56:BY62" si="27">SUM(E56:BX56)</f>
        <v>-1024471.3433333336</v>
      </c>
      <c r="BZ56" s="564"/>
      <c r="CA56" s="229"/>
      <c r="CB56" s="229"/>
      <c r="CC56" s="229"/>
      <c r="CD56" s="229"/>
      <c r="CE56" s="229"/>
    </row>
    <row r="57" spans="2:83" ht="15" hidden="1" customHeight="1" outlineLevel="1">
      <c r="B57" s="569"/>
      <c r="C57" s="257" t="s">
        <v>234</v>
      </c>
      <c r="D57" s="274">
        <v>0.11</v>
      </c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/>
      <c r="AJ57" s="259"/>
      <c r="AK57" s="259"/>
      <c r="AL57" s="259"/>
      <c r="AM57" s="259">
        <f>-SUM(' Interest Calc'!J19:J41)-' Interest Calc'!J41</f>
        <v>-3766621.7600000016</v>
      </c>
      <c r="AN57" s="259"/>
      <c r="AO57" s="259"/>
      <c r="AP57" s="259"/>
      <c r="AQ57" s="259"/>
      <c r="AR57" s="259"/>
      <c r="AS57" s="259"/>
      <c r="AT57" s="259"/>
      <c r="AU57" s="259"/>
      <c r="AV57" s="259"/>
      <c r="AW57" s="259"/>
      <c r="AX57" s="259"/>
      <c r="AY57" s="259"/>
      <c r="AZ57" s="259"/>
      <c r="BA57" s="259"/>
      <c r="BB57" s="259"/>
      <c r="BC57" s="259"/>
      <c r="BD57" s="259"/>
      <c r="BE57" s="259"/>
      <c r="BF57" s="259"/>
      <c r="BG57" s="259"/>
      <c r="BH57" s="259"/>
      <c r="BI57" s="259"/>
      <c r="BJ57" s="259"/>
      <c r="BK57" s="259"/>
      <c r="BL57" s="259"/>
      <c r="BM57" s="265"/>
      <c r="BN57" s="265"/>
      <c r="BO57" s="265"/>
      <c r="BP57" s="265"/>
      <c r="BQ57" s="265"/>
      <c r="BR57" s="265"/>
      <c r="BS57" s="265"/>
      <c r="BT57" s="265"/>
      <c r="BU57" s="265"/>
      <c r="BV57" s="265"/>
      <c r="BW57" s="265"/>
      <c r="BX57" s="265"/>
      <c r="BY57" s="276">
        <f t="shared" si="27"/>
        <v>-3766621.7600000016</v>
      </c>
      <c r="BZ57" s="564"/>
      <c r="CA57" s="229"/>
      <c r="CB57" s="229"/>
      <c r="CC57" s="229"/>
      <c r="CD57" s="229"/>
      <c r="CE57" s="229"/>
    </row>
    <row r="58" spans="2:83" ht="15" hidden="1" customHeight="1" outlineLevel="1">
      <c r="B58" s="569"/>
      <c r="C58" s="257" t="s">
        <v>235</v>
      </c>
      <c r="D58" s="274">
        <v>0.105</v>
      </c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59"/>
      <c r="AN58" s="259"/>
      <c r="AO58" s="259"/>
      <c r="AP58" s="259"/>
      <c r="AQ58" s="259"/>
      <c r="AR58" s="259"/>
      <c r="AS58" s="259"/>
      <c r="AT58" s="259"/>
      <c r="AU58" s="259"/>
      <c r="AV58" s="259"/>
      <c r="AW58" s="259"/>
      <c r="AX58" s="259"/>
      <c r="AY58" s="259"/>
      <c r="AZ58" s="259"/>
      <c r="BA58" s="259"/>
      <c r="BB58" s="259"/>
      <c r="BC58" s="259"/>
      <c r="BD58" s="259"/>
      <c r="BE58" s="259"/>
      <c r="BF58" s="259"/>
      <c r="BG58" s="259"/>
      <c r="BH58" s="259"/>
      <c r="BI58" s="259"/>
      <c r="BJ58" s="259"/>
      <c r="BK58" s="259"/>
      <c r="BL58" s="259"/>
      <c r="BM58" s="265"/>
      <c r="BN58" s="265"/>
      <c r="BO58" s="265"/>
      <c r="BP58" s="265"/>
      <c r="BQ58" s="265"/>
      <c r="BR58" s="265"/>
      <c r="BS58" s="265"/>
      <c r="BT58" s="265"/>
      <c r="BU58" s="265"/>
      <c r="BV58" s="265"/>
      <c r="BW58" s="265"/>
      <c r="BX58" s="265"/>
      <c r="BY58" s="276">
        <f t="shared" si="27"/>
        <v>0</v>
      </c>
      <c r="BZ58" s="564"/>
      <c r="CA58" s="229"/>
      <c r="CB58" s="229"/>
      <c r="CC58" s="229"/>
      <c r="CD58" s="229"/>
      <c r="CE58" s="229"/>
    </row>
    <row r="59" spans="2:83" ht="15" hidden="1" customHeight="1" outlineLevel="1">
      <c r="B59" s="569"/>
      <c r="C59" s="257" t="s">
        <v>236</v>
      </c>
      <c r="D59" s="274">
        <v>0.105</v>
      </c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65"/>
      <c r="BN59" s="265"/>
      <c r="BO59" s="265"/>
      <c r="BP59" s="265"/>
      <c r="BQ59" s="265"/>
      <c r="BR59" s="265"/>
      <c r="BS59" s="265"/>
      <c r="BT59" s="265"/>
      <c r="BU59" s="265"/>
      <c r="BV59" s="265"/>
      <c r="BW59" s="265"/>
      <c r="BX59" s="265"/>
      <c r="BY59" s="276">
        <f t="shared" si="27"/>
        <v>0</v>
      </c>
      <c r="BZ59" s="564"/>
      <c r="CA59" s="229"/>
      <c r="CB59" s="229"/>
      <c r="CC59" s="229"/>
      <c r="CD59" s="229"/>
      <c r="CE59" s="229"/>
    </row>
    <row r="60" spans="2:83" ht="15" hidden="1" customHeight="1" outlineLevel="1">
      <c r="B60" s="569"/>
      <c r="C60" s="257" t="s">
        <v>237</v>
      </c>
      <c r="D60" s="274">
        <v>0.15</v>
      </c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65"/>
      <c r="BN60" s="265"/>
      <c r="BO60" s="265"/>
      <c r="BP60" s="265"/>
      <c r="BQ60" s="265"/>
      <c r="BR60" s="265"/>
      <c r="BS60" s="265"/>
      <c r="BT60" s="265"/>
      <c r="BU60" s="265"/>
      <c r="BV60" s="265"/>
      <c r="BW60" s="265"/>
      <c r="BX60" s="265"/>
      <c r="BY60" s="277">
        <f t="shared" si="27"/>
        <v>0</v>
      </c>
      <c r="BZ60" s="564"/>
      <c r="CA60" s="229"/>
      <c r="CB60" s="229"/>
      <c r="CC60" s="229"/>
      <c r="CD60" s="229"/>
      <c r="CE60" s="229"/>
    </row>
    <row r="61" spans="2:83" ht="15" hidden="1" customHeight="1" outlineLevel="1">
      <c r="B61" s="569"/>
      <c r="C61" s="257" t="s">
        <v>238</v>
      </c>
      <c r="D61" s="278">
        <f>25%/12</f>
        <v>2.0833333333333332E-2</v>
      </c>
      <c r="E61" s="262"/>
      <c r="F61" s="262"/>
      <c r="G61" s="262"/>
      <c r="H61" s="262"/>
      <c r="I61" s="262"/>
      <c r="J61" s="262"/>
      <c r="K61" s="262"/>
      <c r="L61" s="262"/>
      <c r="M61" s="262"/>
      <c r="N61" s="262"/>
      <c r="O61" s="262"/>
      <c r="P61" s="262"/>
      <c r="Q61" s="262"/>
      <c r="R61" s="262"/>
      <c r="S61" s="262"/>
      <c r="T61" s="262"/>
      <c r="U61" s="262"/>
      <c r="V61" s="262"/>
      <c r="W61" s="262"/>
      <c r="X61" s="262"/>
      <c r="Y61" s="262"/>
      <c r="Z61" s="262"/>
      <c r="AA61" s="262"/>
      <c r="AB61" s="262"/>
      <c r="AC61" s="262"/>
      <c r="AD61" s="262"/>
      <c r="AE61" s="262"/>
      <c r="AF61" s="262"/>
      <c r="AG61" s="262"/>
      <c r="AH61" s="262"/>
      <c r="AI61" s="262"/>
      <c r="AJ61" s="262"/>
      <c r="AK61" s="262"/>
      <c r="AL61" s="262"/>
      <c r="AM61" s="262"/>
      <c r="AN61" s="262"/>
      <c r="AO61" s="262"/>
      <c r="AP61" s="262"/>
      <c r="AQ61" s="262"/>
      <c r="AR61" s="262"/>
      <c r="AS61" s="262"/>
      <c r="AT61" s="262"/>
      <c r="AU61" s="262"/>
      <c r="AV61" s="262"/>
      <c r="AW61" s="262"/>
      <c r="AX61" s="262"/>
      <c r="AY61" s="262"/>
      <c r="AZ61" s="262"/>
      <c r="BA61" s="262"/>
      <c r="BB61" s="262"/>
      <c r="BC61" s="262"/>
      <c r="BD61" s="262"/>
      <c r="BE61" s="262"/>
      <c r="BF61" s="262"/>
      <c r="BG61" s="262"/>
      <c r="BH61" s="262"/>
      <c r="BI61" s="262"/>
      <c r="BJ61" s="262"/>
      <c r="BK61" s="262"/>
      <c r="BL61" s="259"/>
      <c r="BM61" s="265"/>
      <c r="BN61" s="265"/>
      <c r="BO61" s="265"/>
      <c r="BP61" s="265"/>
      <c r="BQ61" s="265"/>
      <c r="BR61" s="265"/>
      <c r="BS61" s="265"/>
      <c r="BT61" s="265"/>
      <c r="BU61" s="265"/>
      <c r="BV61" s="265"/>
      <c r="BW61" s="265"/>
      <c r="BX61" s="265"/>
      <c r="BY61" s="277">
        <f t="shared" si="27"/>
        <v>0</v>
      </c>
      <c r="BZ61" s="564"/>
      <c r="CA61" s="229"/>
      <c r="CB61" s="229"/>
      <c r="CC61" s="229"/>
      <c r="CD61" s="229"/>
      <c r="CE61" s="229"/>
    </row>
    <row r="62" spans="2:83" ht="15" hidden="1" customHeight="1" outlineLevel="1">
      <c r="B62" s="569"/>
      <c r="C62" s="279" t="s">
        <v>239</v>
      </c>
      <c r="D62" s="280">
        <v>0.08</v>
      </c>
      <c r="E62" s="281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>
        <f t="shared" ref="AA62:AC62" si="28">-AA11*$D$62/12</f>
        <v>0</v>
      </c>
      <c r="AB62" s="281">
        <f t="shared" si="28"/>
        <v>0</v>
      </c>
      <c r="AC62" s="281">
        <f t="shared" si="28"/>
        <v>0</v>
      </c>
      <c r="AD62" s="281">
        <f t="shared" ref="AD62:AL62" si="29">-SUM($AC$11:AD11)*$D$62/12</f>
        <v>0</v>
      </c>
      <c r="AE62" s="281">
        <f t="shared" si="29"/>
        <v>-46666.666666666664</v>
      </c>
      <c r="AF62" s="281">
        <f t="shared" si="29"/>
        <v>-93333.333333333328</v>
      </c>
      <c r="AG62" s="281">
        <f t="shared" si="29"/>
        <v>-140000</v>
      </c>
      <c r="AH62" s="281">
        <f t="shared" si="29"/>
        <v>-173333.33333333334</v>
      </c>
      <c r="AI62" s="281">
        <f t="shared" si="29"/>
        <v>-213333.33333333334</v>
      </c>
      <c r="AJ62" s="281">
        <f t="shared" si="29"/>
        <v>-266666.66666666669</v>
      </c>
      <c r="AK62" s="281">
        <f t="shared" si="29"/>
        <v>-315333.33333333331</v>
      </c>
      <c r="AL62" s="281">
        <f t="shared" si="29"/>
        <v>-373333.33333333331</v>
      </c>
      <c r="AM62" s="281"/>
      <c r="AN62" s="281"/>
      <c r="AO62" s="281"/>
      <c r="AP62" s="281"/>
      <c r="AQ62" s="281"/>
      <c r="AR62" s="281"/>
      <c r="AS62" s="281"/>
      <c r="AT62" s="281"/>
      <c r="AU62" s="281"/>
      <c r="AV62" s="281"/>
      <c r="AW62" s="281"/>
      <c r="AX62" s="281"/>
      <c r="AY62" s="281"/>
      <c r="AZ62" s="281"/>
      <c r="BA62" s="281"/>
      <c r="BB62" s="281"/>
      <c r="BC62" s="281"/>
      <c r="BD62" s="281"/>
      <c r="BE62" s="281"/>
      <c r="BF62" s="281"/>
      <c r="BG62" s="281"/>
      <c r="BH62" s="281"/>
      <c r="BI62" s="281"/>
      <c r="BJ62" s="281"/>
      <c r="BK62" s="281"/>
      <c r="BL62" s="281"/>
      <c r="BM62" s="282"/>
      <c r="BN62" s="282"/>
      <c r="BO62" s="282"/>
      <c r="BP62" s="282"/>
      <c r="BQ62" s="282"/>
      <c r="BR62" s="282"/>
      <c r="BS62" s="282"/>
      <c r="BT62" s="282"/>
      <c r="BU62" s="282"/>
      <c r="BV62" s="282"/>
      <c r="BW62" s="282"/>
      <c r="BX62" s="282"/>
      <c r="BY62" s="283">
        <f t="shared" si="27"/>
        <v>-1622000</v>
      </c>
      <c r="BZ62" s="564"/>
      <c r="CA62" s="229"/>
      <c r="CB62" s="229"/>
      <c r="CC62" s="229"/>
      <c r="CD62" s="229"/>
      <c r="CE62" s="229"/>
    </row>
    <row r="63" spans="2:83" ht="15" customHeight="1" collapsed="1">
      <c r="B63" s="569"/>
      <c r="C63" s="252" t="s">
        <v>240</v>
      </c>
      <c r="D63" s="253"/>
      <c r="E63" s="254">
        <f t="shared" ref="E63:BY63" si="30">SUM(E64:E70)</f>
        <v>0</v>
      </c>
      <c r="F63" s="254">
        <f t="shared" si="30"/>
        <v>0</v>
      </c>
      <c r="G63" s="254">
        <f t="shared" si="30"/>
        <v>0</v>
      </c>
      <c r="H63" s="254">
        <f t="shared" si="30"/>
        <v>0</v>
      </c>
      <c r="I63" s="254">
        <f t="shared" si="30"/>
        <v>0</v>
      </c>
      <c r="J63" s="254">
        <f t="shared" si="30"/>
        <v>0</v>
      </c>
      <c r="K63" s="254">
        <f t="shared" si="30"/>
        <v>0</v>
      </c>
      <c r="L63" s="254">
        <f t="shared" si="30"/>
        <v>0</v>
      </c>
      <c r="M63" s="254">
        <f t="shared" si="30"/>
        <v>0</v>
      </c>
      <c r="N63" s="254">
        <f t="shared" si="30"/>
        <v>0</v>
      </c>
      <c r="O63" s="254">
        <f t="shared" si="30"/>
        <v>0</v>
      </c>
      <c r="P63" s="254">
        <f t="shared" si="30"/>
        <v>0</v>
      </c>
      <c r="Q63" s="254">
        <f t="shared" si="30"/>
        <v>0</v>
      </c>
      <c r="R63" s="254">
        <f t="shared" si="30"/>
        <v>0</v>
      </c>
      <c r="S63" s="254">
        <f t="shared" si="30"/>
        <v>0</v>
      </c>
      <c r="T63" s="254">
        <f t="shared" si="30"/>
        <v>0</v>
      </c>
      <c r="U63" s="254">
        <f t="shared" si="30"/>
        <v>0</v>
      </c>
      <c r="V63" s="254">
        <f t="shared" si="30"/>
        <v>0</v>
      </c>
      <c r="W63" s="254">
        <f t="shared" si="30"/>
        <v>0</v>
      </c>
      <c r="X63" s="254">
        <f t="shared" si="30"/>
        <v>0</v>
      </c>
      <c r="Y63" s="254">
        <f t="shared" si="30"/>
        <v>0</v>
      </c>
      <c r="Z63" s="254">
        <f t="shared" si="30"/>
        <v>0</v>
      </c>
      <c r="AA63" s="254">
        <f t="shared" si="30"/>
        <v>0</v>
      </c>
      <c r="AB63" s="254">
        <f t="shared" si="30"/>
        <v>0</v>
      </c>
      <c r="AC63" s="254">
        <f t="shared" si="30"/>
        <v>0</v>
      </c>
      <c r="AD63" s="254">
        <f t="shared" si="30"/>
        <v>0</v>
      </c>
      <c r="AE63" s="254">
        <f t="shared" si="30"/>
        <v>0</v>
      </c>
      <c r="AF63" s="254">
        <f t="shared" si="30"/>
        <v>0</v>
      </c>
      <c r="AG63" s="254">
        <f t="shared" si="30"/>
        <v>0</v>
      </c>
      <c r="AH63" s="254">
        <f t="shared" si="30"/>
        <v>0</v>
      </c>
      <c r="AI63" s="254">
        <f t="shared" si="30"/>
        <v>0</v>
      </c>
      <c r="AJ63" s="254">
        <f t="shared" si="30"/>
        <v>0</v>
      </c>
      <c r="AK63" s="254">
        <f t="shared" si="30"/>
        <v>0</v>
      </c>
      <c r="AL63" s="254">
        <f t="shared" si="30"/>
        <v>-49937.5</v>
      </c>
      <c r="AM63" s="254">
        <f t="shared" si="30"/>
        <v>-1180921.6428571427</v>
      </c>
      <c r="AN63" s="254">
        <f t="shared" si="30"/>
        <v>0</v>
      </c>
      <c r="AO63" s="254">
        <f t="shared" si="30"/>
        <v>0</v>
      </c>
      <c r="AP63" s="254">
        <f t="shared" si="30"/>
        <v>0</v>
      </c>
      <c r="AQ63" s="254">
        <f t="shared" si="30"/>
        <v>0</v>
      </c>
      <c r="AR63" s="254">
        <f t="shared" si="30"/>
        <v>0</v>
      </c>
      <c r="AS63" s="254">
        <f t="shared" si="30"/>
        <v>0</v>
      </c>
      <c r="AT63" s="254">
        <f t="shared" si="30"/>
        <v>0</v>
      </c>
      <c r="AU63" s="254">
        <f t="shared" si="30"/>
        <v>0</v>
      </c>
      <c r="AV63" s="254">
        <f t="shared" si="30"/>
        <v>0</v>
      </c>
      <c r="AW63" s="254">
        <f t="shared" si="30"/>
        <v>0</v>
      </c>
      <c r="AX63" s="254">
        <f t="shared" si="30"/>
        <v>0</v>
      </c>
      <c r="AY63" s="254">
        <f t="shared" si="30"/>
        <v>0</v>
      </c>
      <c r="AZ63" s="254">
        <f t="shared" si="30"/>
        <v>0</v>
      </c>
      <c r="BA63" s="254">
        <f t="shared" si="30"/>
        <v>0</v>
      </c>
      <c r="BB63" s="254">
        <f t="shared" si="30"/>
        <v>0</v>
      </c>
      <c r="BC63" s="254">
        <f t="shared" si="30"/>
        <v>0</v>
      </c>
      <c r="BD63" s="254">
        <f t="shared" si="30"/>
        <v>0</v>
      </c>
      <c r="BE63" s="254">
        <f t="shared" si="30"/>
        <v>0</v>
      </c>
      <c r="BF63" s="254">
        <f t="shared" si="30"/>
        <v>0</v>
      </c>
      <c r="BG63" s="254">
        <f t="shared" si="30"/>
        <v>0</v>
      </c>
      <c r="BH63" s="254">
        <f t="shared" si="30"/>
        <v>0</v>
      </c>
      <c r="BI63" s="254">
        <f t="shared" si="30"/>
        <v>0</v>
      </c>
      <c r="BJ63" s="254">
        <f t="shared" si="30"/>
        <v>0</v>
      </c>
      <c r="BK63" s="254">
        <f t="shared" si="30"/>
        <v>0</v>
      </c>
      <c r="BL63" s="254">
        <f t="shared" si="30"/>
        <v>0</v>
      </c>
      <c r="BM63" s="254">
        <f t="shared" si="30"/>
        <v>0</v>
      </c>
      <c r="BN63" s="254">
        <f t="shared" si="30"/>
        <v>0</v>
      </c>
      <c r="BO63" s="254">
        <f t="shared" si="30"/>
        <v>0</v>
      </c>
      <c r="BP63" s="254">
        <f t="shared" si="30"/>
        <v>0</v>
      </c>
      <c r="BQ63" s="254">
        <f t="shared" si="30"/>
        <v>0</v>
      </c>
      <c r="BR63" s="254">
        <f t="shared" si="30"/>
        <v>0</v>
      </c>
      <c r="BS63" s="254">
        <f t="shared" si="30"/>
        <v>0</v>
      </c>
      <c r="BT63" s="254">
        <f t="shared" si="30"/>
        <v>0</v>
      </c>
      <c r="BU63" s="254">
        <f t="shared" si="30"/>
        <v>0</v>
      </c>
      <c r="BV63" s="254">
        <f t="shared" si="30"/>
        <v>0</v>
      </c>
      <c r="BW63" s="254">
        <f t="shared" si="30"/>
        <v>0</v>
      </c>
      <c r="BX63" s="254">
        <f t="shared" si="30"/>
        <v>0</v>
      </c>
      <c r="BY63" s="255">
        <f t="shared" si="30"/>
        <v>-1230859.1428571427</v>
      </c>
      <c r="BZ63" s="564"/>
      <c r="CA63" s="229"/>
      <c r="CB63" s="229"/>
      <c r="CC63" s="229"/>
      <c r="CD63" s="229"/>
      <c r="CE63" s="229"/>
    </row>
    <row r="64" spans="2:83" ht="15" hidden="1" customHeight="1" outlineLevel="1">
      <c r="B64" s="569"/>
      <c r="C64" s="284" t="s">
        <v>83</v>
      </c>
      <c r="D64" s="258" t="s">
        <v>191</v>
      </c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>
        <f>-Businessplan_prodej!$N$21/12</f>
        <v>-49937.5</v>
      </c>
      <c r="AM64" s="285">
        <f>-Businessplan_prodej!$N$21/12</f>
        <v>-49937.5</v>
      </c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6">
        <f t="shared" ref="BY64:BY70" si="31">SUM(E64:BX64)</f>
        <v>-99875</v>
      </c>
      <c r="BZ64" s="564"/>
      <c r="CA64" s="229"/>
      <c r="CB64" s="229"/>
      <c r="CC64" s="229"/>
      <c r="CD64" s="229"/>
      <c r="CE64" s="229"/>
    </row>
    <row r="65" spans="2:91" ht="15" hidden="1" customHeight="1" outlineLevel="1">
      <c r="B65" s="569"/>
      <c r="C65" s="284" t="s">
        <v>242</v>
      </c>
      <c r="D65" s="258" t="s">
        <v>191</v>
      </c>
      <c r="E65" s="285"/>
      <c r="F65" s="285"/>
      <c r="G65" s="285"/>
      <c r="H65" s="285"/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5"/>
      <c r="Z65" s="285"/>
      <c r="AA65" s="285"/>
      <c r="AB65" s="285"/>
      <c r="AC65" s="285"/>
      <c r="AD65" s="285"/>
      <c r="AE65" s="285"/>
      <c r="AF65" s="285"/>
      <c r="AG65" s="285"/>
      <c r="AH65" s="285"/>
      <c r="AI65" s="285"/>
      <c r="AJ65" s="285"/>
      <c r="AK65" s="285"/>
      <c r="AL65" s="285"/>
      <c r="AM65" s="285"/>
      <c r="AN65" s="285"/>
      <c r="AO65" s="285"/>
      <c r="AP65" s="285"/>
      <c r="AQ65" s="285"/>
      <c r="AR65" s="285"/>
      <c r="AS65" s="285"/>
      <c r="AT65" s="285"/>
      <c r="AU65" s="285"/>
      <c r="AV65" s="285"/>
      <c r="AW65" s="285"/>
      <c r="AX65" s="285"/>
      <c r="AY65" s="285"/>
      <c r="AZ65" s="285"/>
      <c r="BA65" s="285"/>
      <c r="BB65" s="285"/>
      <c r="BC65" s="285"/>
      <c r="BD65" s="285"/>
      <c r="BE65" s="285"/>
      <c r="BF65" s="285"/>
      <c r="BG65" s="285"/>
      <c r="BH65" s="285"/>
      <c r="BI65" s="285"/>
      <c r="BJ65" s="285"/>
      <c r="BK65" s="285"/>
      <c r="BL65" s="285"/>
      <c r="BM65" s="285"/>
      <c r="BN65" s="285"/>
      <c r="BO65" s="285"/>
      <c r="BP65" s="285"/>
      <c r="BQ65" s="285"/>
      <c r="BR65" s="285"/>
      <c r="BS65" s="285"/>
      <c r="BT65" s="285"/>
      <c r="BU65" s="285"/>
      <c r="BV65" s="285"/>
      <c r="BW65" s="285"/>
      <c r="BX65" s="285"/>
      <c r="BY65" s="286">
        <f t="shared" si="31"/>
        <v>0</v>
      </c>
      <c r="BZ65" s="564"/>
      <c r="CA65" s="229"/>
      <c r="CB65" s="229"/>
      <c r="CC65" s="229"/>
      <c r="CD65" s="229"/>
      <c r="CE65" s="229"/>
      <c r="CF65" s="229"/>
      <c r="CG65" s="229"/>
      <c r="CH65" s="229"/>
      <c r="CI65" s="229"/>
      <c r="CJ65" s="229"/>
      <c r="CK65" s="229"/>
      <c r="CL65" s="229"/>
      <c r="CM65" s="229"/>
    </row>
    <row r="66" spans="2:91" ht="15" hidden="1" customHeight="1" outlineLevel="1">
      <c r="B66" s="569"/>
      <c r="C66" s="287" t="s">
        <v>222</v>
      </c>
      <c r="D66" s="258" t="s">
        <v>191</v>
      </c>
      <c r="E66" s="285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259"/>
      <c r="BV66" s="259"/>
      <c r="BW66" s="259"/>
      <c r="BX66" s="259"/>
      <c r="BY66" s="286">
        <f t="shared" si="31"/>
        <v>0</v>
      </c>
      <c r="BZ66" s="564"/>
      <c r="CA66" s="229"/>
      <c r="CB66" s="229"/>
      <c r="CC66" s="229"/>
      <c r="CD66" s="229"/>
      <c r="CE66" s="229"/>
      <c r="CF66" s="229"/>
      <c r="CG66" s="229"/>
      <c r="CH66" s="229"/>
      <c r="CI66" s="229"/>
      <c r="CJ66" s="229"/>
      <c r="CK66" s="229"/>
      <c r="CL66" s="229"/>
      <c r="CM66" s="229"/>
    </row>
    <row r="67" spans="2:91" ht="15" hidden="1" customHeight="1" outlineLevel="1">
      <c r="B67" s="569"/>
      <c r="C67" s="284" t="s">
        <v>223</v>
      </c>
      <c r="D67" s="258" t="s">
        <v>191</v>
      </c>
      <c r="E67" s="285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259"/>
      <c r="AO67" s="259"/>
      <c r="AP67" s="259"/>
      <c r="AQ67" s="259"/>
      <c r="AR67" s="259"/>
      <c r="AS67" s="259"/>
      <c r="AT67" s="259"/>
      <c r="AU67" s="259"/>
      <c r="AV67" s="259"/>
      <c r="AW67" s="259"/>
      <c r="AX67" s="259"/>
      <c r="AY67" s="259"/>
      <c r="AZ67" s="259"/>
      <c r="BA67" s="259"/>
      <c r="BB67" s="259"/>
      <c r="BC67" s="259"/>
      <c r="BD67" s="259"/>
      <c r="BE67" s="259"/>
      <c r="BF67" s="259"/>
      <c r="BG67" s="259"/>
      <c r="BH67" s="259"/>
      <c r="BI67" s="259"/>
      <c r="BJ67" s="259"/>
      <c r="BK67" s="259"/>
      <c r="BL67" s="259"/>
      <c r="BM67" s="259"/>
      <c r="BN67" s="259"/>
      <c r="BO67" s="259"/>
      <c r="BP67" s="259"/>
      <c r="BQ67" s="259"/>
      <c r="BR67" s="259"/>
      <c r="BS67" s="259"/>
      <c r="BT67" s="259"/>
      <c r="BU67" s="259"/>
      <c r="BV67" s="259"/>
      <c r="BW67" s="259"/>
      <c r="BX67" s="259"/>
      <c r="BY67" s="286">
        <f t="shared" si="31"/>
        <v>0</v>
      </c>
      <c r="BZ67" s="564"/>
      <c r="CA67" s="229"/>
      <c r="CB67" s="229"/>
      <c r="CC67" s="229"/>
      <c r="CD67" s="229"/>
      <c r="CE67" s="229"/>
      <c r="CF67" s="229"/>
      <c r="CG67" s="229"/>
      <c r="CH67" s="229"/>
      <c r="CI67" s="229"/>
      <c r="CJ67" s="229"/>
      <c r="CK67" s="229"/>
      <c r="CL67" s="229"/>
      <c r="CM67" s="229"/>
    </row>
    <row r="68" spans="2:91" ht="15" hidden="1" customHeight="1" outlineLevel="1">
      <c r="B68" s="569"/>
      <c r="C68" s="284" t="s">
        <v>230</v>
      </c>
      <c r="D68" s="258" t="s">
        <v>191</v>
      </c>
      <c r="E68" s="285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259"/>
      <c r="AO68" s="259"/>
      <c r="AP68" s="259"/>
      <c r="AQ68" s="259"/>
      <c r="AR68" s="259"/>
      <c r="AS68" s="259"/>
      <c r="AT68" s="259"/>
      <c r="AU68" s="259"/>
      <c r="AV68" s="259"/>
      <c r="AW68" s="259"/>
      <c r="AX68" s="259"/>
      <c r="AY68" s="259"/>
      <c r="AZ68" s="259"/>
      <c r="BA68" s="259"/>
      <c r="BB68" s="259"/>
      <c r="BC68" s="259"/>
      <c r="BD68" s="259"/>
      <c r="BE68" s="259"/>
      <c r="BF68" s="259"/>
      <c r="BG68" s="259"/>
      <c r="BH68" s="259"/>
      <c r="BI68" s="259"/>
      <c r="BJ68" s="259"/>
      <c r="BK68" s="259"/>
      <c r="BL68" s="259"/>
      <c r="BM68" s="259"/>
      <c r="BN68" s="259"/>
      <c r="BO68" s="259"/>
      <c r="BP68" s="259"/>
      <c r="BQ68" s="259"/>
      <c r="BR68" s="259"/>
      <c r="BS68" s="259"/>
      <c r="BT68" s="259"/>
      <c r="BU68" s="259"/>
      <c r="BV68" s="259"/>
      <c r="BW68" s="259"/>
      <c r="BX68" s="259"/>
      <c r="BY68" s="286">
        <f t="shared" si="31"/>
        <v>0</v>
      </c>
      <c r="BZ68" s="564"/>
      <c r="CA68" s="229"/>
      <c r="CB68" s="229"/>
      <c r="CC68" s="229"/>
      <c r="CD68" s="229"/>
      <c r="CE68" s="229"/>
      <c r="CF68" s="229"/>
      <c r="CG68" s="229"/>
      <c r="CH68" s="229"/>
      <c r="CI68" s="229"/>
      <c r="CJ68" s="229"/>
      <c r="CK68" s="229"/>
      <c r="CL68" s="229"/>
      <c r="CM68" s="229"/>
    </row>
    <row r="69" spans="2:91" ht="15" hidden="1" customHeight="1" outlineLevel="1">
      <c r="B69" s="569"/>
      <c r="C69" s="284" t="s">
        <v>231</v>
      </c>
      <c r="D69" s="258" t="s">
        <v>191</v>
      </c>
      <c r="E69" s="285"/>
      <c r="F69" s="259"/>
      <c r="G69" s="259"/>
      <c r="H69" s="259"/>
      <c r="I69" s="259"/>
      <c r="J69" s="259"/>
      <c r="K69" s="259"/>
      <c r="L69" s="259"/>
      <c r="M69" s="259"/>
      <c r="N69" s="259"/>
      <c r="O69" s="259"/>
      <c r="P69" s="259"/>
      <c r="Q69" s="259"/>
      <c r="R69" s="259"/>
      <c r="S69" s="259"/>
      <c r="T69" s="259"/>
      <c r="U69" s="259"/>
      <c r="V69" s="259"/>
      <c r="W69" s="259"/>
      <c r="X69" s="259"/>
      <c r="Y69" s="259"/>
      <c r="Z69" s="259"/>
      <c r="AA69" s="259"/>
      <c r="AB69" s="259"/>
      <c r="AC69" s="259"/>
      <c r="AD69" s="259"/>
      <c r="AE69" s="259"/>
      <c r="AF69" s="259"/>
      <c r="AG69" s="259"/>
      <c r="AH69" s="259"/>
      <c r="AI69" s="259"/>
      <c r="AJ69" s="259"/>
      <c r="AK69" s="259"/>
      <c r="AL69" s="259"/>
      <c r="AM69" s="259"/>
      <c r="AN69" s="259"/>
      <c r="AO69" s="259"/>
      <c r="AP69" s="259"/>
      <c r="AQ69" s="259"/>
      <c r="AR69" s="259"/>
      <c r="AS69" s="259"/>
      <c r="AT69" s="259"/>
      <c r="AU69" s="259"/>
      <c r="AV69" s="259"/>
      <c r="AW69" s="259"/>
      <c r="AX69" s="259"/>
      <c r="AY69" s="259"/>
      <c r="AZ69" s="259"/>
      <c r="BA69" s="259"/>
      <c r="BB69" s="259"/>
      <c r="BC69" s="259"/>
      <c r="BD69" s="259"/>
      <c r="BE69" s="259"/>
      <c r="BF69" s="259"/>
      <c r="BG69" s="259"/>
      <c r="BH69" s="259"/>
      <c r="BI69" s="259"/>
      <c r="BJ69" s="259"/>
      <c r="BK69" s="259"/>
      <c r="BL69" s="259"/>
      <c r="BM69" s="259"/>
      <c r="BN69" s="259"/>
      <c r="BO69" s="259"/>
      <c r="BP69" s="259"/>
      <c r="BQ69" s="259"/>
      <c r="BR69" s="259"/>
      <c r="BS69" s="259"/>
      <c r="BT69" s="259"/>
      <c r="BU69" s="259"/>
      <c r="BV69" s="259"/>
      <c r="BW69" s="259"/>
      <c r="BX69" s="259"/>
      <c r="BY69" s="286">
        <f t="shared" si="31"/>
        <v>0</v>
      </c>
      <c r="BZ69" s="564"/>
      <c r="CA69" s="229"/>
      <c r="CB69" s="229"/>
      <c r="CC69" s="229"/>
      <c r="CD69" s="229"/>
      <c r="CE69" s="229"/>
      <c r="CF69" s="229"/>
      <c r="CG69" s="229"/>
      <c r="CH69" s="229"/>
      <c r="CI69" s="229"/>
      <c r="CJ69" s="229"/>
      <c r="CK69" s="229"/>
      <c r="CL69" s="229"/>
      <c r="CM69" s="229"/>
    </row>
    <row r="70" spans="2:91" ht="15" hidden="1" customHeight="1" outlineLevel="1">
      <c r="B70" s="569"/>
      <c r="C70" s="288" t="s">
        <v>243</v>
      </c>
      <c r="D70" s="261" t="s">
        <v>191</v>
      </c>
      <c r="E70" s="289"/>
      <c r="F70" s="289"/>
      <c r="G70" s="289"/>
      <c r="H70" s="289"/>
      <c r="I70" s="289"/>
      <c r="J70" s="289"/>
      <c r="K70" s="289"/>
      <c r="L70" s="289"/>
      <c r="M70" s="289"/>
      <c r="N70" s="289"/>
      <c r="O70" s="289"/>
      <c r="P70" s="289"/>
      <c r="Q70" s="289"/>
      <c r="R70" s="289"/>
      <c r="S70" s="289"/>
      <c r="T70" s="289"/>
      <c r="U70" s="289"/>
      <c r="V70" s="289"/>
      <c r="W70" s="289"/>
      <c r="X70" s="289"/>
      <c r="Y70" s="289"/>
      <c r="Z70" s="289"/>
      <c r="AA70" s="289"/>
      <c r="AB70" s="289"/>
      <c r="AC70" s="289"/>
      <c r="AD70" s="289"/>
      <c r="AE70" s="289"/>
      <c r="AF70" s="289"/>
      <c r="AG70" s="289"/>
      <c r="AH70" s="289"/>
      <c r="AI70" s="289"/>
      <c r="AJ70" s="289"/>
      <c r="AK70" s="289"/>
      <c r="AL70" s="289"/>
      <c r="AM70" s="289">
        <f>Businessplan_prodej!$N$24</f>
        <v>-1130984.1428571427</v>
      </c>
      <c r="AN70" s="289"/>
      <c r="AO70" s="289"/>
      <c r="AP70" s="289"/>
      <c r="AQ70" s="289"/>
      <c r="AR70" s="289"/>
      <c r="AS70" s="289"/>
      <c r="AT70" s="289"/>
      <c r="AU70" s="289"/>
      <c r="AV70" s="289"/>
      <c r="AW70" s="289"/>
      <c r="AX70" s="289"/>
      <c r="AY70" s="289"/>
      <c r="AZ70" s="289"/>
      <c r="BA70" s="289"/>
      <c r="BB70" s="289"/>
      <c r="BC70" s="289"/>
      <c r="BD70" s="289"/>
      <c r="BE70" s="289"/>
      <c r="BF70" s="289"/>
      <c r="BG70" s="289"/>
      <c r="BH70" s="289"/>
      <c r="BI70" s="289"/>
      <c r="BJ70" s="289"/>
      <c r="BK70" s="289"/>
      <c r="BL70" s="289"/>
      <c r="BM70" s="289"/>
      <c r="BN70" s="289"/>
      <c r="BO70" s="289"/>
      <c r="BP70" s="289"/>
      <c r="BQ70" s="289"/>
      <c r="BR70" s="289"/>
      <c r="BS70" s="289"/>
      <c r="BT70" s="289"/>
      <c r="BU70" s="289"/>
      <c r="BV70" s="289"/>
      <c r="BW70" s="289"/>
      <c r="BX70" s="289"/>
      <c r="BY70" s="286">
        <f t="shared" si="31"/>
        <v>-1130984.1428571427</v>
      </c>
      <c r="BZ70" s="564"/>
      <c r="CA70" s="229"/>
      <c r="CB70" s="229"/>
      <c r="CC70" s="229"/>
      <c r="CD70" s="229"/>
      <c r="CE70" s="229"/>
      <c r="CF70" s="229"/>
      <c r="CG70" s="229"/>
      <c r="CH70" s="229"/>
      <c r="CI70" s="229"/>
      <c r="CJ70" s="229"/>
      <c r="CK70" s="229"/>
      <c r="CL70" s="229"/>
      <c r="CM70" s="229"/>
    </row>
    <row r="71" spans="2:91" ht="15" customHeight="1" collapsed="1">
      <c r="B71" s="569"/>
      <c r="C71" s="252" t="s">
        <v>244</v>
      </c>
      <c r="D71" s="253"/>
      <c r="E71" s="254">
        <f t="shared" ref="E71:BY71" si="32">SUM(E72:E73)</f>
        <v>0</v>
      </c>
      <c r="F71" s="254">
        <f t="shared" si="32"/>
        <v>0</v>
      </c>
      <c r="G71" s="254">
        <f t="shared" si="32"/>
        <v>0</v>
      </c>
      <c r="H71" s="254">
        <f t="shared" si="32"/>
        <v>0</v>
      </c>
      <c r="I71" s="254">
        <f t="shared" si="32"/>
        <v>0</v>
      </c>
      <c r="J71" s="254">
        <f t="shared" si="32"/>
        <v>0</v>
      </c>
      <c r="K71" s="254">
        <f t="shared" si="32"/>
        <v>0</v>
      </c>
      <c r="L71" s="254">
        <f t="shared" si="32"/>
        <v>0</v>
      </c>
      <c r="M71" s="254">
        <f t="shared" si="32"/>
        <v>0</v>
      </c>
      <c r="N71" s="254">
        <f t="shared" si="32"/>
        <v>0</v>
      </c>
      <c r="O71" s="254">
        <f t="shared" si="32"/>
        <v>0</v>
      </c>
      <c r="P71" s="254">
        <f t="shared" si="32"/>
        <v>0</v>
      </c>
      <c r="Q71" s="254">
        <f t="shared" si="32"/>
        <v>0</v>
      </c>
      <c r="R71" s="254">
        <f t="shared" si="32"/>
        <v>0</v>
      </c>
      <c r="S71" s="254">
        <f t="shared" si="32"/>
        <v>0</v>
      </c>
      <c r="T71" s="254">
        <f t="shared" si="32"/>
        <v>0</v>
      </c>
      <c r="U71" s="254">
        <f t="shared" si="32"/>
        <v>0</v>
      </c>
      <c r="V71" s="254">
        <f t="shared" si="32"/>
        <v>0</v>
      </c>
      <c r="W71" s="254">
        <f t="shared" si="32"/>
        <v>0</v>
      </c>
      <c r="X71" s="254">
        <f t="shared" si="32"/>
        <v>0</v>
      </c>
      <c r="Y71" s="254">
        <f t="shared" si="32"/>
        <v>0</v>
      </c>
      <c r="Z71" s="254">
        <f t="shared" si="32"/>
        <v>0</v>
      </c>
      <c r="AA71" s="254">
        <f t="shared" si="32"/>
        <v>0</v>
      </c>
      <c r="AB71" s="254">
        <f t="shared" si="32"/>
        <v>0</v>
      </c>
      <c r="AC71" s="254">
        <f t="shared" si="32"/>
        <v>0</v>
      </c>
      <c r="AD71" s="254">
        <f t="shared" si="32"/>
        <v>0</v>
      </c>
      <c r="AE71" s="254">
        <f t="shared" si="32"/>
        <v>0</v>
      </c>
      <c r="AF71" s="254">
        <f t="shared" si="32"/>
        <v>0</v>
      </c>
      <c r="AG71" s="254">
        <f t="shared" si="32"/>
        <v>0</v>
      </c>
      <c r="AH71" s="254">
        <f t="shared" si="32"/>
        <v>0</v>
      </c>
      <c r="AI71" s="254">
        <f t="shared" si="32"/>
        <v>0</v>
      </c>
      <c r="AJ71" s="254">
        <f t="shared" si="32"/>
        <v>0</v>
      </c>
      <c r="AK71" s="254">
        <f t="shared" si="32"/>
        <v>0</v>
      </c>
      <c r="AL71" s="254">
        <f t="shared" si="32"/>
        <v>0</v>
      </c>
      <c r="AM71" s="254">
        <f t="shared" si="32"/>
        <v>0</v>
      </c>
      <c r="AN71" s="254">
        <f t="shared" si="32"/>
        <v>0</v>
      </c>
      <c r="AO71" s="254">
        <f t="shared" si="32"/>
        <v>0</v>
      </c>
      <c r="AP71" s="254">
        <f t="shared" si="32"/>
        <v>0</v>
      </c>
      <c r="AQ71" s="254">
        <f t="shared" si="32"/>
        <v>0</v>
      </c>
      <c r="AR71" s="254">
        <f t="shared" si="32"/>
        <v>0</v>
      </c>
      <c r="AS71" s="254">
        <f t="shared" si="32"/>
        <v>0</v>
      </c>
      <c r="AT71" s="254">
        <f t="shared" si="32"/>
        <v>0</v>
      </c>
      <c r="AU71" s="254">
        <f t="shared" si="32"/>
        <v>0</v>
      </c>
      <c r="AV71" s="254">
        <f t="shared" si="32"/>
        <v>0</v>
      </c>
      <c r="AW71" s="254">
        <f t="shared" si="32"/>
        <v>0</v>
      </c>
      <c r="AX71" s="254">
        <f t="shared" si="32"/>
        <v>0</v>
      </c>
      <c r="AY71" s="254">
        <f t="shared" si="32"/>
        <v>0</v>
      </c>
      <c r="AZ71" s="254">
        <f t="shared" si="32"/>
        <v>0</v>
      </c>
      <c r="BA71" s="254">
        <f t="shared" si="32"/>
        <v>0</v>
      </c>
      <c r="BB71" s="254">
        <f t="shared" si="32"/>
        <v>0</v>
      </c>
      <c r="BC71" s="254">
        <f t="shared" si="32"/>
        <v>0</v>
      </c>
      <c r="BD71" s="254">
        <f t="shared" si="32"/>
        <v>0</v>
      </c>
      <c r="BE71" s="254">
        <f t="shared" si="32"/>
        <v>0</v>
      </c>
      <c r="BF71" s="254">
        <f t="shared" si="32"/>
        <v>0</v>
      </c>
      <c r="BG71" s="254">
        <f t="shared" si="32"/>
        <v>0</v>
      </c>
      <c r="BH71" s="254">
        <f t="shared" si="32"/>
        <v>0</v>
      </c>
      <c r="BI71" s="254">
        <f t="shared" si="32"/>
        <v>0</v>
      </c>
      <c r="BJ71" s="254">
        <f t="shared" si="32"/>
        <v>0</v>
      </c>
      <c r="BK71" s="254">
        <f t="shared" si="32"/>
        <v>0</v>
      </c>
      <c r="BL71" s="254">
        <f t="shared" si="32"/>
        <v>0</v>
      </c>
      <c r="BM71" s="254">
        <f t="shared" si="32"/>
        <v>0</v>
      </c>
      <c r="BN71" s="254">
        <f t="shared" si="32"/>
        <v>0</v>
      </c>
      <c r="BO71" s="254">
        <f t="shared" si="32"/>
        <v>0</v>
      </c>
      <c r="BP71" s="254">
        <f t="shared" si="32"/>
        <v>0</v>
      </c>
      <c r="BQ71" s="254">
        <f t="shared" si="32"/>
        <v>0</v>
      </c>
      <c r="BR71" s="254">
        <f t="shared" si="32"/>
        <v>0</v>
      </c>
      <c r="BS71" s="254">
        <f t="shared" si="32"/>
        <v>0</v>
      </c>
      <c r="BT71" s="254">
        <f t="shared" si="32"/>
        <v>0</v>
      </c>
      <c r="BU71" s="254">
        <f t="shared" si="32"/>
        <v>0</v>
      </c>
      <c r="BV71" s="254">
        <f t="shared" si="32"/>
        <v>0</v>
      </c>
      <c r="BW71" s="254">
        <f t="shared" si="32"/>
        <v>0</v>
      </c>
      <c r="BX71" s="254">
        <f t="shared" si="32"/>
        <v>0</v>
      </c>
      <c r="BY71" s="255">
        <f t="shared" si="32"/>
        <v>0</v>
      </c>
      <c r="BZ71" s="564"/>
      <c r="CA71" s="229"/>
      <c r="CB71" s="229"/>
      <c r="CC71" s="229"/>
      <c r="CD71" s="229"/>
      <c r="CE71" s="229"/>
      <c r="CF71" s="229"/>
      <c r="CG71" s="229"/>
      <c r="CH71" s="229"/>
      <c r="CI71" s="229"/>
      <c r="CJ71" s="229"/>
      <c r="CK71" s="229"/>
      <c r="CL71" s="229"/>
      <c r="CM71" s="229"/>
    </row>
    <row r="72" spans="2:91" ht="15" hidden="1" customHeight="1" outlineLevel="1">
      <c r="B72" s="569"/>
      <c r="C72" s="290" t="s">
        <v>245</v>
      </c>
      <c r="D72" s="258" t="s">
        <v>191</v>
      </c>
      <c r="E72" s="291"/>
      <c r="F72" s="291"/>
      <c r="G72" s="291"/>
      <c r="H72" s="291"/>
      <c r="I72" s="291"/>
      <c r="J72" s="291"/>
      <c r="K72" s="291"/>
      <c r="L72" s="291"/>
      <c r="M72" s="291"/>
      <c r="N72" s="291"/>
      <c r="O72" s="291"/>
      <c r="P72" s="291"/>
      <c r="Q72" s="291"/>
      <c r="R72" s="291"/>
      <c r="S72" s="291"/>
      <c r="T72" s="291"/>
      <c r="U72" s="291"/>
      <c r="V72" s="291"/>
      <c r="W72" s="291"/>
      <c r="X72" s="291"/>
      <c r="Y72" s="291"/>
      <c r="Z72" s="291"/>
      <c r="AA72" s="291"/>
      <c r="AB72" s="291"/>
      <c r="AC72" s="291"/>
      <c r="AD72" s="291"/>
      <c r="AE72" s="291"/>
      <c r="AF72" s="291"/>
      <c r="AG72" s="291"/>
      <c r="AH72" s="291"/>
      <c r="AI72" s="291"/>
      <c r="AJ72" s="291"/>
      <c r="AK72" s="291"/>
      <c r="AL72" s="291"/>
      <c r="AM72" s="291"/>
      <c r="AN72" s="291"/>
      <c r="AO72" s="291"/>
      <c r="AP72" s="291"/>
      <c r="AQ72" s="291"/>
      <c r="AR72" s="291"/>
      <c r="AS72" s="291"/>
      <c r="AT72" s="291"/>
      <c r="AU72" s="291"/>
      <c r="AV72" s="291"/>
      <c r="AW72" s="291"/>
      <c r="AX72" s="291"/>
      <c r="AY72" s="291"/>
      <c r="AZ72" s="291"/>
      <c r="BA72" s="291"/>
      <c r="BB72" s="291"/>
      <c r="BC72" s="291"/>
      <c r="BD72" s="291"/>
      <c r="BE72" s="291"/>
      <c r="BF72" s="291"/>
      <c r="BG72" s="291"/>
      <c r="BH72" s="291"/>
      <c r="BI72" s="291"/>
      <c r="BJ72" s="291"/>
      <c r="BK72" s="291"/>
      <c r="BL72" s="291"/>
      <c r="BM72" s="291"/>
      <c r="BN72" s="291"/>
      <c r="BO72" s="291"/>
      <c r="BP72" s="291"/>
      <c r="BQ72" s="291"/>
      <c r="BR72" s="291"/>
      <c r="BS72" s="291"/>
      <c r="BT72" s="291"/>
      <c r="BU72" s="291"/>
      <c r="BV72" s="291"/>
      <c r="BW72" s="291"/>
      <c r="BX72" s="291"/>
      <c r="BY72" s="292">
        <f t="shared" ref="BY72:BY73" si="33">SUM(E72:BX72)</f>
        <v>0</v>
      </c>
      <c r="BZ72" s="564"/>
      <c r="CA72" s="229"/>
      <c r="CB72" s="229"/>
      <c r="CC72" s="229"/>
      <c r="CD72" s="229"/>
      <c r="CE72" s="229"/>
      <c r="CF72" s="229"/>
      <c r="CG72" s="229"/>
      <c r="CH72" s="229"/>
      <c r="CI72" s="229"/>
      <c r="CJ72" s="229"/>
      <c r="CK72" s="229"/>
      <c r="CL72" s="229"/>
      <c r="CM72" s="229"/>
    </row>
    <row r="73" spans="2:91" ht="15" hidden="1" customHeight="1" outlineLevel="1">
      <c r="B73" s="569"/>
      <c r="C73" s="288" t="s">
        <v>246</v>
      </c>
      <c r="D73" s="261" t="s">
        <v>191</v>
      </c>
      <c r="E73" s="293"/>
      <c r="F73" s="282"/>
      <c r="G73" s="282"/>
      <c r="H73" s="282"/>
      <c r="I73" s="282"/>
      <c r="J73" s="282"/>
      <c r="K73" s="282"/>
      <c r="L73" s="282"/>
      <c r="M73" s="282"/>
      <c r="N73" s="282"/>
      <c r="O73" s="282"/>
      <c r="P73" s="282"/>
      <c r="Q73" s="282"/>
      <c r="R73" s="282"/>
      <c r="S73" s="282"/>
      <c r="T73" s="282"/>
      <c r="U73" s="282"/>
      <c r="V73" s="282"/>
      <c r="W73" s="282"/>
      <c r="X73" s="282"/>
      <c r="Y73" s="282"/>
      <c r="Z73" s="282"/>
      <c r="AA73" s="282"/>
      <c r="AB73" s="282"/>
      <c r="AC73" s="282"/>
      <c r="AD73" s="282"/>
      <c r="AE73" s="282"/>
      <c r="AF73" s="282"/>
      <c r="AG73" s="282"/>
      <c r="AH73" s="282"/>
      <c r="AI73" s="282"/>
      <c r="AJ73" s="282"/>
      <c r="AK73" s="282"/>
      <c r="AL73" s="282"/>
      <c r="AM73" s="282"/>
      <c r="AN73" s="282"/>
      <c r="AO73" s="282"/>
      <c r="AP73" s="282"/>
      <c r="AQ73" s="282"/>
      <c r="AR73" s="282"/>
      <c r="AS73" s="282"/>
      <c r="AT73" s="282"/>
      <c r="AU73" s="282"/>
      <c r="AV73" s="282"/>
      <c r="AW73" s="282"/>
      <c r="AX73" s="282"/>
      <c r="AY73" s="282"/>
      <c r="AZ73" s="282"/>
      <c r="BA73" s="282"/>
      <c r="BB73" s="282"/>
      <c r="BC73" s="282"/>
      <c r="BD73" s="282"/>
      <c r="BE73" s="282"/>
      <c r="BF73" s="282"/>
      <c r="BG73" s="282"/>
      <c r="BH73" s="282"/>
      <c r="BI73" s="282"/>
      <c r="BJ73" s="282"/>
      <c r="BK73" s="282"/>
      <c r="BL73" s="282"/>
      <c r="BM73" s="282"/>
      <c r="BN73" s="282"/>
      <c r="BO73" s="282"/>
      <c r="BP73" s="282"/>
      <c r="BQ73" s="282"/>
      <c r="BR73" s="282"/>
      <c r="BS73" s="282"/>
      <c r="BT73" s="282"/>
      <c r="BU73" s="282"/>
      <c r="BV73" s="282"/>
      <c r="BW73" s="282"/>
      <c r="BX73" s="282"/>
      <c r="BY73" s="294">
        <f t="shared" si="33"/>
        <v>0</v>
      </c>
      <c r="BZ73" s="563"/>
      <c r="CA73" s="229"/>
      <c r="CB73" s="229"/>
      <c r="CC73" s="229"/>
      <c r="CD73" s="229"/>
      <c r="CE73" s="229"/>
      <c r="CF73" s="229"/>
      <c r="CG73" s="229"/>
      <c r="CH73" s="229"/>
      <c r="CI73" s="229"/>
      <c r="CJ73" s="229"/>
      <c r="CK73" s="229"/>
      <c r="CL73" s="229"/>
      <c r="CM73" s="229"/>
    </row>
    <row r="74" spans="2:91">
      <c r="B74" s="569"/>
      <c r="C74" s="252" t="s">
        <v>247</v>
      </c>
      <c r="D74" s="253"/>
      <c r="E74" s="254">
        <f t="shared" ref="E74:BX74" si="34">SUM(E75:E81)</f>
        <v>0</v>
      </c>
      <c r="F74" s="254">
        <f t="shared" si="34"/>
        <v>0</v>
      </c>
      <c r="G74" s="254">
        <f t="shared" si="34"/>
        <v>0</v>
      </c>
      <c r="H74" s="254">
        <f t="shared" si="34"/>
        <v>0</v>
      </c>
      <c r="I74" s="254">
        <f t="shared" si="34"/>
        <v>0</v>
      </c>
      <c r="J74" s="254">
        <f t="shared" si="34"/>
        <v>0</v>
      </c>
      <c r="K74" s="254">
        <f t="shared" si="34"/>
        <v>0</v>
      </c>
      <c r="L74" s="254">
        <f t="shared" si="34"/>
        <v>0</v>
      </c>
      <c r="M74" s="254">
        <f t="shared" si="34"/>
        <v>0</v>
      </c>
      <c r="N74" s="254">
        <f t="shared" si="34"/>
        <v>0</v>
      </c>
      <c r="O74" s="254">
        <f t="shared" si="34"/>
        <v>0</v>
      </c>
      <c r="P74" s="254">
        <f t="shared" si="34"/>
        <v>0</v>
      </c>
      <c r="Q74" s="254">
        <f t="shared" si="34"/>
        <v>-1918824</v>
      </c>
      <c r="R74" s="254">
        <f t="shared" si="34"/>
        <v>-50000</v>
      </c>
      <c r="S74" s="254">
        <f t="shared" si="34"/>
        <v>0</v>
      </c>
      <c r="T74" s="254">
        <f t="shared" si="34"/>
        <v>0</v>
      </c>
      <c r="U74" s="254">
        <f t="shared" si="34"/>
        <v>0</v>
      </c>
      <c r="V74" s="254">
        <f t="shared" si="34"/>
        <v>0</v>
      </c>
      <c r="W74" s="254">
        <f t="shared" si="34"/>
        <v>0</v>
      </c>
      <c r="X74" s="254">
        <f t="shared" si="34"/>
        <v>0</v>
      </c>
      <c r="Y74" s="254">
        <f t="shared" si="34"/>
        <v>0</v>
      </c>
      <c r="Z74" s="254">
        <f t="shared" si="34"/>
        <v>0</v>
      </c>
      <c r="AA74" s="254">
        <f t="shared" si="34"/>
        <v>0</v>
      </c>
      <c r="AB74" s="254">
        <f t="shared" si="34"/>
        <v>0</v>
      </c>
      <c r="AC74" s="254">
        <f t="shared" si="34"/>
        <v>-1632000</v>
      </c>
      <c r="AD74" s="254">
        <f t="shared" si="34"/>
        <v>0</v>
      </c>
      <c r="AE74" s="254">
        <f t="shared" si="34"/>
        <v>0</v>
      </c>
      <c r="AF74" s="254">
        <f t="shared" si="34"/>
        <v>0</v>
      </c>
      <c r="AG74" s="254">
        <f t="shared" si="34"/>
        <v>0</v>
      </c>
      <c r="AH74" s="254">
        <f t="shared" si="34"/>
        <v>0</v>
      </c>
      <c r="AI74" s="254">
        <f t="shared" si="34"/>
        <v>0</v>
      </c>
      <c r="AJ74" s="254">
        <f t="shared" si="34"/>
        <v>0</v>
      </c>
      <c r="AK74" s="254">
        <f t="shared" si="34"/>
        <v>0</v>
      </c>
      <c r="AL74" s="254">
        <f t="shared" si="34"/>
        <v>0</v>
      </c>
      <c r="AM74" s="254">
        <f t="shared" si="34"/>
        <v>-84967008</v>
      </c>
      <c r="AN74" s="254">
        <f t="shared" si="34"/>
        <v>0</v>
      </c>
      <c r="AO74" s="254">
        <f t="shared" si="34"/>
        <v>0</v>
      </c>
      <c r="AP74" s="254">
        <f t="shared" si="34"/>
        <v>0</v>
      </c>
      <c r="AQ74" s="254">
        <f t="shared" si="34"/>
        <v>0</v>
      </c>
      <c r="AR74" s="254">
        <f t="shared" si="34"/>
        <v>0</v>
      </c>
      <c r="AS74" s="254">
        <f t="shared" si="34"/>
        <v>0</v>
      </c>
      <c r="AT74" s="254">
        <f t="shared" si="34"/>
        <v>0</v>
      </c>
      <c r="AU74" s="254">
        <f t="shared" si="34"/>
        <v>0</v>
      </c>
      <c r="AV74" s="254">
        <f t="shared" si="34"/>
        <v>0</v>
      </c>
      <c r="AW74" s="254">
        <f t="shared" si="34"/>
        <v>0</v>
      </c>
      <c r="AX74" s="254">
        <f t="shared" si="34"/>
        <v>0</v>
      </c>
      <c r="AY74" s="254">
        <f t="shared" si="34"/>
        <v>0</v>
      </c>
      <c r="AZ74" s="254">
        <f t="shared" si="34"/>
        <v>0</v>
      </c>
      <c r="BA74" s="254">
        <f t="shared" si="34"/>
        <v>0</v>
      </c>
      <c r="BB74" s="254">
        <f t="shared" si="34"/>
        <v>0</v>
      </c>
      <c r="BC74" s="254">
        <f t="shared" si="34"/>
        <v>0</v>
      </c>
      <c r="BD74" s="254">
        <f t="shared" si="34"/>
        <v>0</v>
      </c>
      <c r="BE74" s="254">
        <f t="shared" si="34"/>
        <v>0</v>
      </c>
      <c r="BF74" s="254">
        <f t="shared" si="34"/>
        <v>0</v>
      </c>
      <c r="BG74" s="254">
        <f t="shared" si="34"/>
        <v>0</v>
      </c>
      <c r="BH74" s="254">
        <f t="shared" si="34"/>
        <v>0</v>
      </c>
      <c r="BI74" s="254">
        <f t="shared" si="34"/>
        <v>0</v>
      </c>
      <c r="BJ74" s="254">
        <f t="shared" si="34"/>
        <v>0</v>
      </c>
      <c r="BK74" s="254">
        <f t="shared" si="34"/>
        <v>0</v>
      </c>
      <c r="BL74" s="254">
        <f t="shared" si="34"/>
        <v>0</v>
      </c>
      <c r="BM74" s="254">
        <f t="shared" si="34"/>
        <v>0</v>
      </c>
      <c r="BN74" s="254">
        <f t="shared" si="34"/>
        <v>0</v>
      </c>
      <c r="BO74" s="254">
        <f t="shared" si="34"/>
        <v>0</v>
      </c>
      <c r="BP74" s="254">
        <f t="shared" si="34"/>
        <v>0</v>
      </c>
      <c r="BQ74" s="254">
        <f t="shared" si="34"/>
        <v>0</v>
      </c>
      <c r="BR74" s="254">
        <f t="shared" si="34"/>
        <v>0</v>
      </c>
      <c r="BS74" s="254">
        <f t="shared" si="34"/>
        <v>0</v>
      </c>
      <c r="BT74" s="254">
        <f t="shared" si="34"/>
        <v>0</v>
      </c>
      <c r="BU74" s="254">
        <f t="shared" si="34"/>
        <v>0</v>
      </c>
      <c r="BV74" s="254">
        <f t="shared" si="34"/>
        <v>0</v>
      </c>
      <c r="BW74" s="254">
        <f t="shared" si="34"/>
        <v>0</v>
      </c>
      <c r="BX74" s="254">
        <f t="shared" si="34"/>
        <v>0</v>
      </c>
      <c r="BY74" s="536">
        <f>SUM(BZ18:BZ62)</f>
        <v>-116166112.23387231</v>
      </c>
      <c r="BZ74" s="568"/>
      <c r="CA74" s="229"/>
      <c r="CB74" s="229"/>
      <c r="CC74" s="229"/>
      <c r="CD74" s="229"/>
      <c r="CE74" s="229"/>
      <c r="CF74" s="229"/>
      <c r="CG74" s="229"/>
      <c r="CH74" s="229"/>
      <c r="CI74" s="229"/>
      <c r="CJ74" s="229"/>
      <c r="CK74" s="229"/>
      <c r="CL74" s="229"/>
      <c r="CM74" s="229"/>
    </row>
    <row r="75" spans="2:91" outlineLevel="1">
      <c r="B75" s="569"/>
      <c r="C75" s="257" t="s">
        <v>248</v>
      </c>
      <c r="D75" s="258" t="s">
        <v>191</v>
      </c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>
        <f>-1918824</f>
        <v>-1918824</v>
      </c>
      <c r="R75" s="259"/>
      <c r="S75" s="259"/>
      <c r="T75" s="259"/>
      <c r="U75" s="259"/>
      <c r="V75" s="259"/>
      <c r="W75" s="259"/>
      <c r="X75" s="259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>
        <f>-$BY$5-SUM($E$75:AL75)</f>
        <v>-5483000</v>
      </c>
      <c r="AN75" s="259"/>
      <c r="AO75" s="259"/>
      <c r="AP75" s="259"/>
      <c r="AQ75" s="259"/>
      <c r="AR75" s="259"/>
      <c r="AS75" s="259"/>
      <c r="AT75" s="259"/>
      <c r="AU75" s="259"/>
      <c r="AV75" s="259"/>
      <c r="AW75" s="259"/>
      <c r="AX75" s="259"/>
      <c r="AY75" s="259"/>
      <c r="AZ75" s="259"/>
      <c r="BA75" s="259"/>
      <c r="BB75" s="259"/>
      <c r="BC75" s="285"/>
      <c r="BD75" s="259"/>
      <c r="BE75" s="259"/>
      <c r="BF75" s="259"/>
      <c r="BG75" s="259"/>
      <c r="BH75" s="259"/>
      <c r="BI75" s="259"/>
      <c r="BJ75" s="259"/>
      <c r="BK75" s="259"/>
      <c r="BL75" s="259"/>
      <c r="BM75" s="259"/>
      <c r="BN75" s="259"/>
      <c r="BO75" s="259"/>
      <c r="BP75" s="259"/>
      <c r="BQ75" s="259"/>
      <c r="BR75" s="259"/>
      <c r="BS75" s="259"/>
      <c r="BT75" s="259"/>
      <c r="BU75" s="259"/>
      <c r="BV75" s="259"/>
      <c r="BW75" s="259"/>
      <c r="BX75" s="265"/>
      <c r="BY75" s="292">
        <f t="shared" ref="BY75:BY81" si="35">SUM(E75:BX75)</f>
        <v>-7401824</v>
      </c>
      <c r="BZ75" s="537">
        <f>SUM(BY75:BY81)</f>
        <v>-88567832</v>
      </c>
      <c r="CA75" s="248"/>
      <c r="CB75" s="229"/>
      <c r="CC75" s="229"/>
      <c r="CD75" s="229"/>
      <c r="CE75" s="229"/>
      <c r="CF75" s="229"/>
      <c r="CG75" s="229"/>
      <c r="CH75" s="229"/>
      <c r="CI75" s="229"/>
      <c r="CJ75" s="229"/>
      <c r="CK75" s="229"/>
      <c r="CL75" s="229"/>
      <c r="CM75" s="229"/>
    </row>
    <row r="76" spans="2:91" outlineLevel="1">
      <c r="B76" s="569"/>
      <c r="C76" s="257" t="s">
        <v>249</v>
      </c>
      <c r="D76" s="258" t="s">
        <v>191</v>
      </c>
      <c r="E76" s="259"/>
      <c r="F76" s="259"/>
      <c r="G76" s="259"/>
      <c r="H76" s="259"/>
      <c r="I76" s="259"/>
      <c r="J76" s="259"/>
      <c r="K76" s="259"/>
      <c r="L76" s="259"/>
      <c r="M76" s="259"/>
      <c r="N76" s="259"/>
      <c r="O76" s="259"/>
      <c r="P76" s="259"/>
      <c r="Q76" s="259"/>
      <c r="R76" s="259"/>
      <c r="S76" s="259"/>
      <c r="T76" s="259"/>
      <c r="U76" s="259"/>
      <c r="V76" s="259"/>
      <c r="W76" s="259"/>
      <c r="X76" s="259"/>
      <c r="Y76" s="259"/>
      <c r="Z76" s="259"/>
      <c r="AA76" s="259"/>
      <c r="AB76" s="259"/>
      <c r="AC76" s="259">
        <f>-1632000</f>
        <v>-1632000</v>
      </c>
      <c r="AD76" s="259"/>
      <c r="AE76" s="259"/>
      <c r="AF76" s="259"/>
      <c r="AG76" s="259"/>
      <c r="AH76" s="259"/>
      <c r="AI76" s="259"/>
      <c r="AJ76" s="259"/>
      <c r="AK76" s="259"/>
      <c r="AL76" s="259"/>
      <c r="AM76" s="259">
        <f>-$BY$6-SUM($E$76:AL76)</f>
        <v>-21862008</v>
      </c>
      <c r="AN76" s="259"/>
      <c r="AO76" s="259"/>
      <c r="AP76" s="259"/>
      <c r="AQ76" s="259"/>
      <c r="AR76" s="259"/>
      <c r="AS76" s="259"/>
      <c r="AT76" s="259"/>
      <c r="AU76" s="259"/>
      <c r="AV76" s="259"/>
      <c r="AW76" s="259"/>
      <c r="AX76" s="259"/>
      <c r="AY76" s="259"/>
      <c r="AZ76" s="259"/>
      <c r="BA76" s="259"/>
      <c r="BB76" s="259"/>
      <c r="BC76" s="259"/>
      <c r="BD76" s="259"/>
      <c r="BE76" s="259"/>
      <c r="BF76" s="259"/>
      <c r="BG76" s="259"/>
      <c r="BH76" s="259"/>
      <c r="BI76" s="259"/>
      <c r="BJ76" s="259"/>
      <c r="BK76" s="259"/>
      <c r="BL76" s="259"/>
      <c r="BM76" s="259"/>
      <c r="BN76" s="259"/>
      <c r="BO76" s="259"/>
      <c r="BP76" s="259"/>
      <c r="BQ76" s="259"/>
      <c r="BR76" s="259"/>
      <c r="BS76" s="259"/>
      <c r="BT76" s="259"/>
      <c r="BU76" s="259"/>
      <c r="BV76" s="259"/>
      <c r="BW76" s="259"/>
      <c r="BX76" s="265"/>
      <c r="BY76" s="286">
        <f t="shared" si="35"/>
        <v>-23494008</v>
      </c>
      <c r="BZ76" s="564"/>
      <c r="CA76" s="229"/>
      <c r="CB76" s="248"/>
      <c r="CC76" s="229"/>
      <c r="CD76" s="229"/>
      <c r="CE76" s="229"/>
      <c r="CF76" s="229"/>
      <c r="CG76" s="229"/>
      <c r="CH76" s="229"/>
      <c r="CI76" s="229"/>
      <c r="CJ76" s="229"/>
      <c r="CK76" s="229"/>
      <c r="CL76" s="229"/>
      <c r="CM76" s="229"/>
    </row>
    <row r="77" spans="2:91" outlineLevel="1">
      <c r="B77" s="569"/>
      <c r="C77" s="257" t="s">
        <v>250</v>
      </c>
      <c r="D77" s="258" t="s">
        <v>191</v>
      </c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59"/>
      <c r="AO77" s="259"/>
      <c r="AP77" s="259"/>
      <c r="AQ77" s="259"/>
      <c r="AR77" s="259"/>
      <c r="AS77" s="259"/>
      <c r="AT77" s="259"/>
      <c r="AU77" s="259"/>
      <c r="AV77" s="259"/>
      <c r="AW77" s="259"/>
      <c r="AX77" s="259"/>
      <c r="AY77" s="259"/>
      <c r="AZ77" s="259"/>
      <c r="BA77" s="259"/>
      <c r="BB77" s="259"/>
      <c r="BC77" s="259"/>
      <c r="BD77" s="259"/>
      <c r="BE77" s="259"/>
      <c r="BF77" s="259"/>
      <c r="BG77" s="259"/>
      <c r="BH77" s="259"/>
      <c r="BI77" s="259"/>
      <c r="BJ77" s="259"/>
      <c r="BK77" s="259"/>
      <c r="BL77" s="259"/>
      <c r="BM77" s="259"/>
      <c r="BN77" s="259"/>
      <c r="BO77" s="259"/>
      <c r="BP77" s="259"/>
      <c r="BQ77" s="259"/>
      <c r="BR77" s="259"/>
      <c r="BS77" s="259"/>
      <c r="BT77" s="259"/>
      <c r="BU77" s="259"/>
      <c r="BV77" s="259"/>
      <c r="BW77" s="259"/>
      <c r="BX77" s="265"/>
      <c r="BY77" s="286">
        <f t="shared" si="35"/>
        <v>0</v>
      </c>
      <c r="BZ77" s="564"/>
      <c r="CA77" s="503"/>
      <c r="CB77" s="229"/>
      <c r="CC77" s="229"/>
      <c r="CD77" s="229"/>
      <c r="CE77" s="229"/>
      <c r="CF77" s="229"/>
      <c r="CG77" s="229"/>
      <c r="CH77" s="229"/>
      <c r="CI77" s="229"/>
      <c r="CJ77" s="229"/>
      <c r="CK77" s="229"/>
      <c r="CL77" s="229"/>
      <c r="CM77" s="229"/>
    </row>
    <row r="78" spans="2:91" outlineLevel="1">
      <c r="B78" s="569"/>
      <c r="C78" s="257" t="s">
        <v>251</v>
      </c>
      <c r="D78" s="258" t="s">
        <v>191</v>
      </c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/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59"/>
      <c r="AO78" s="259"/>
      <c r="AP78" s="259"/>
      <c r="AQ78" s="259"/>
      <c r="AR78" s="259"/>
      <c r="AS78" s="259"/>
      <c r="AT78" s="259"/>
      <c r="AU78" s="259"/>
      <c r="AV78" s="259"/>
      <c r="AW78" s="259"/>
      <c r="AX78" s="259"/>
      <c r="AY78" s="259"/>
      <c r="AZ78" s="259"/>
      <c r="BA78" s="259"/>
      <c r="BB78" s="259"/>
      <c r="BC78" s="259"/>
      <c r="BD78" s="259"/>
      <c r="BE78" s="259"/>
      <c r="BF78" s="259"/>
      <c r="BG78" s="259"/>
      <c r="BH78" s="259"/>
      <c r="BI78" s="259"/>
      <c r="BJ78" s="259"/>
      <c r="BK78" s="259"/>
      <c r="BL78" s="259"/>
      <c r="BM78" s="259"/>
      <c r="BN78" s="259"/>
      <c r="BO78" s="259"/>
      <c r="BP78" s="259"/>
      <c r="BQ78" s="259"/>
      <c r="BR78" s="259"/>
      <c r="BS78" s="259"/>
      <c r="BT78" s="259"/>
      <c r="BU78" s="259"/>
      <c r="BV78" s="259"/>
      <c r="BW78" s="259"/>
      <c r="BX78" s="265"/>
      <c r="BY78" s="286">
        <f t="shared" si="35"/>
        <v>0</v>
      </c>
      <c r="BZ78" s="564"/>
      <c r="CA78" s="229"/>
      <c r="CB78" s="248"/>
      <c r="CC78" s="229"/>
      <c r="CD78" s="229"/>
      <c r="CE78" s="229"/>
      <c r="CF78" s="229"/>
      <c r="CG78" s="229"/>
      <c r="CH78" s="229"/>
      <c r="CI78" s="229"/>
      <c r="CJ78" s="229"/>
      <c r="CK78" s="229"/>
      <c r="CL78" s="229"/>
      <c r="CM78" s="229"/>
    </row>
    <row r="79" spans="2:91" outlineLevel="1">
      <c r="B79" s="569"/>
      <c r="C79" s="257" t="s">
        <v>252</v>
      </c>
      <c r="D79" s="258" t="s">
        <v>191</v>
      </c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>
        <f>-50000</f>
        <v>-50000</v>
      </c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59"/>
      <c r="AP79" s="259"/>
      <c r="AQ79" s="259"/>
      <c r="AR79" s="259"/>
      <c r="AS79" s="259"/>
      <c r="AT79" s="259"/>
      <c r="AU79" s="259"/>
      <c r="AV79" s="259"/>
      <c r="AW79" s="259"/>
      <c r="AX79" s="259"/>
      <c r="AY79" s="259"/>
      <c r="AZ79" s="259"/>
      <c r="BA79" s="259"/>
      <c r="BB79" s="259"/>
      <c r="BC79" s="285"/>
      <c r="BD79" s="259"/>
      <c r="BE79" s="259"/>
      <c r="BF79" s="259"/>
      <c r="BG79" s="259"/>
      <c r="BH79" s="259"/>
      <c r="BI79" s="259"/>
      <c r="BJ79" s="259"/>
      <c r="BK79" s="259"/>
      <c r="BL79" s="259"/>
      <c r="BM79" s="259"/>
      <c r="BN79" s="259"/>
      <c r="BO79" s="259"/>
      <c r="BP79" s="259"/>
      <c r="BQ79" s="259"/>
      <c r="BR79" s="259"/>
      <c r="BS79" s="259"/>
      <c r="BT79" s="259"/>
      <c r="BU79" s="259"/>
      <c r="BV79" s="259"/>
      <c r="BW79" s="259"/>
      <c r="BX79" s="265"/>
      <c r="BY79" s="286">
        <f t="shared" si="35"/>
        <v>-50000</v>
      </c>
      <c r="BZ79" s="564"/>
      <c r="CA79" s="229"/>
      <c r="CB79" s="229"/>
      <c r="CC79" s="229"/>
      <c r="CD79" s="229"/>
      <c r="CE79" s="229"/>
      <c r="CF79" s="229"/>
      <c r="CG79" s="229"/>
      <c r="CH79" s="229"/>
      <c r="CI79" s="229"/>
      <c r="CJ79" s="229"/>
      <c r="CK79" s="229"/>
      <c r="CL79" s="229"/>
      <c r="CM79" s="229"/>
    </row>
    <row r="80" spans="2:91" outlineLevel="1">
      <c r="B80" s="569"/>
      <c r="C80" s="257" t="s">
        <v>253</v>
      </c>
      <c r="D80" s="258" t="s">
        <v>191</v>
      </c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59"/>
      <c r="AA80" s="259"/>
      <c r="AB80" s="259"/>
      <c r="AC80" s="259"/>
      <c r="AD80" s="259"/>
      <c r="AE80" s="259"/>
      <c r="AF80" s="259"/>
      <c r="AG80" s="259"/>
      <c r="AH80" s="259"/>
      <c r="AI80" s="259"/>
      <c r="AJ80" s="259"/>
      <c r="AK80" s="259"/>
      <c r="AL80" s="259"/>
      <c r="AM80" s="259"/>
      <c r="AN80" s="259"/>
      <c r="AO80" s="259"/>
      <c r="AP80" s="259"/>
      <c r="AQ80" s="259"/>
      <c r="AR80" s="259"/>
      <c r="AS80" s="259"/>
      <c r="AT80" s="259"/>
      <c r="AU80" s="259"/>
      <c r="AV80" s="259"/>
      <c r="AW80" s="259"/>
      <c r="AX80" s="259"/>
      <c r="AY80" s="259"/>
      <c r="AZ80" s="259"/>
      <c r="BA80" s="259"/>
      <c r="BB80" s="259"/>
      <c r="BC80" s="285"/>
      <c r="BD80" s="259"/>
      <c r="BE80" s="259"/>
      <c r="BF80" s="259"/>
      <c r="BG80" s="259"/>
      <c r="BH80" s="259"/>
      <c r="BI80" s="259"/>
      <c r="BJ80" s="259"/>
      <c r="BK80" s="259"/>
      <c r="BL80" s="259"/>
      <c r="BM80" s="259"/>
      <c r="BN80" s="259"/>
      <c r="BO80" s="259"/>
      <c r="BP80" s="259"/>
      <c r="BQ80" s="259"/>
      <c r="BR80" s="259"/>
      <c r="BS80" s="259"/>
      <c r="BT80" s="259"/>
      <c r="BU80" s="259"/>
      <c r="BV80" s="259"/>
      <c r="BW80" s="259"/>
      <c r="BX80" s="265"/>
      <c r="BY80" s="295">
        <f t="shared" si="35"/>
        <v>0</v>
      </c>
      <c r="BZ80" s="564"/>
      <c r="CA80" s="229"/>
      <c r="CB80" s="229"/>
      <c r="CC80" s="229"/>
      <c r="CD80" s="229"/>
      <c r="CE80" s="229"/>
      <c r="CF80" s="229"/>
      <c r="CG80" s="229"/>
      <c r="CH80" s="229"/>
      <c r="CI80" s="229"/>
      <c r="CJ80" s="229"/>
      <c r="CK80" s="229"/>
      <c r="CL80" s="229"/>
      <c r="CM80" s="229"/>
    </row>
    <row r="81" spans="2:87" outlineLevel="1">
      <c r="B81" s="570"/>
      <c r="C81" s="279" t="s">
        <v>254</v>
      </c>
      <c r="D81" s="296" t="s">
        <v>191</v>
      </c>
      <c r="E81" s="281"/>
      <c r="F81" s="281"/>
      <c r="G81" s="281"/>
      <c r="H81" s="281"/>
      <c r="I81" s="281"/>
      <c r="J81" s="281"/>
      <c r="K81" s="281"/>
      <c r="L81" s="281"/>
      <c r="M81" s="281"/>
      <c r="N81" s="281"/>
      <c r="O81" s="281"/>
      <c r="P81" s="281"/>
      <c r="Q81" s="281"/>
      <c r="R81" s="281"/>
      <c r="S81" s="281"/>
      <c r="T81" s="281"/>
      <c r="U81" s="281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1"/>
      <c r="AI81" s="281"/>
      <c r="AJ81" s="281"/>
      <c r="AK81" s="281"/>
      <c r="AL81" s="281"/>
      <c r="AM81" s="281">
        <f>-$BZ$9</f>
        <v>-57622000</v>
      </c>
      <c r="AN81" s="281"/>
      <c r="AO81" s="281"/>
      <c r="AP81" s="281"/>
      <c r="AQ81" s="281"/>
      <c r="AR81" s="281"/>
      <c r="AS81" s="281"/>
      <c r="AT81" s="281"/>
      <c r="AU81" s="281"/>
      <c r="AV81" s="281"/>
      <c r="AW81" s="281"/>
      <c r="AX81" s="281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281"/>
      <c r="BT81" s="281"/>
      <c r="BU81" s="281"/>
      <c r="BV81" s="281"/>
      <c r="BW81" s="281"/>
      <c r="BX81" s="282"/>
      <c r="BY81" s="269">
        <f t="shared" si="35"/>
        <v>-57622000</v>
      </c>
      <c r="BZ81" s="571"/>
      <c r="CA81" s="229"/>
      <c r="CB81" s="229"/>
      <c r="CC81" s="229"/>
      <c r="CD81" s="229"/>
      <c r="CE81" s="229"/>
      <c r="CF81" s="229"/>
      <c r="CG81" s="229"/>
      <c r="CH81" s="229"/>
      <c r="CI81" s="229"/>
    </row>
    <row r="82" spans="2:87" ht="15.95">
      <c r="B82" s="540" t="s">
        <v>255</v>
      </c>
      <c r="C82" s="563"/>
      <c r="D82" s="297" t="s">
        <v>191</v>
      </c>
      <c r="E82" s="298">
        <f t="shared" ref="E82:BX82" si="36">(E18+E24+E28+E36+E39+E49+E55+E63+E71+E74)</f>
        <v>0</v>
      </c>
      <c r="F82" s="298">
        <f t="shared" si="36"/>
        <v>0</v>
      </c>
      <c r="G82" s="298">
        <f t="shared" si="36"/>
        <v>0</v>
      </c>
      <c r="H82" s="298">
        <f t="shared" si="36"/>
        <v>0</v>
      </c>
      <c r="I82" s="298">
        <f t="shared" si="36"/>
        <v>-87324</v>
      </c>
      <c r="J82" s="298">
        <f t="shared" si="36"/>
        <v>-100000</v>
      </c>
      <c r="K82" s="298">
        <f t="shared" si="36"/>
        <v>-600</v>
      </c>
      <c r="L82" s="298">
        <f t="shared" si="36"/>
        <v>-5024121.0999999996</v>
      </c>
      <c r="M82" s="298">
        <f t="shared" si="36"/>
        <v>-607.44000000000005</v>
      </c>
      <c r="N82" s="298">
        <f t="shared" si="36"/>
        <v>-66221</v>
      </c>
      <c r="O82" s="298">
        <f t="shared" si="36"/>
        <v>-26087.89256198347</v>
      </c>
      <c r="P82" s="298">
        <f t="shared" si="36"/>
        <v>-31398.685950413223</v>
      </c>
      <c r="Q82" s="298">
        <f t="shared" si="36"/>
        <v>-2392622.4132231404</v>
      </c>
      <c r="R82" s="298">
        <f t="shared" si="36"/>
        <v>-230793.06438016528</v>
      </c>
      <c r="S82" s="298">
        <f t="shared" si="36"/>
        <v>-1021745.4445454546</v>
      </c>
      <c r="T82" s="298">
        <f t="shared" si="36"/>
        <v>-547337.99</v>
      </c>
      <c r="U82" s="298">
        <f t="shared" si="36"/>
        <v>-182728.60157024793</v>
      </c>
      <c r="V82" s="298">
        <f t="shared" si="36"/>
        <v>-703081.37016528926</v>
      </c>
      <c r="W82" s="298">
        <f t="shared" si="36"/>
        <v>-21978058.642892562</v>
      </c>
      <c r="X82" s="298">
        <f t="shared" si="36"/>
        <v>-168530.25446280991</v>
      </c>
      <c r="Y82" s="298">
        <f t="shared" si="36"/>
        <v>-167943.08917355372</v>
      </c>
      <c r="Z82" s="298">
        <f t="shared" si="36"/>
        <v>-166513.77512396695</v>
      </c>
      <c r="AA82" s="298">
        <f t="shared" si="36"/>
        <v>-178457.08917355372</v>
      </c>
      <c r="AB82" s="298">
        <f t="shared" si="36"/>
        <v>-467507.94041322311</v>
      </c>
      <c r="AC82" s="298">
        <f t="shared" si="36"/>
        <v>-2206994.7847066219</v>
      </c>
      <c r="AD82" s="298">
        <f t="shared" si="36"/>
        <v>-9196652.2846005522</v>
      </c>
      <c r="AE82" s="298">
        <f t="shared" si="36"/>
        <v>-8486435.7012672182</v>
      </c>
      <c r="AF82" s="298">
        <f t="shared" si="36"/>
        <v>-8648617.3679338861</v>
      </c>
      <c r="AG82" s="298">
        <f t="shared" si="36"/>
        <v>-8568054.0346005522</v>
      </c>
      <c r="AH82" s="298">
        <f t="shared" si="36"/>
        <v>-8385307.3679338843</v>
      </c>
      <c r="AI82" s="298">
        <f t="shared" si="36"/>
        <v>-8570057.3679338843</v>
      </c>
      <c r="AJ82" s="298">
        <f t="shared" si="36"/>
        <v>-8488640.7012672182</v>
      </c>
      <c r="AK82" s="298">
        <f t="shared" si="36"/>
        <v>-7729297.6679338841</v>
      </c>
      <c r="AL82" s="298">
        <f t="shared" si="36"/>
        <v>-9272003.417933885</v>
      </c>
      <c r="AM82" s="298">
        <f t="shared" si="36"/>
        <v>-91640203.744124368</v>
      </c>
      <c r="AN82" s="298">
        <f t="shared" si="36"/>
        <v>0</v>
      </c>
      <c r="AO82" s="298">
        <f t="shared" si="36"/>
        <v>0</v>
      </c>
      <c r="AP82" s="298">
        <f t="shared" si="36"/>
        <v>0</v>
      </c>
      <c r="AQ82" s="298">
        <f t="shared" si="36"/>
        <v>0</v>
      </c>
      <c r="AR82" s="298">
        <f t="shared" si="36"/>
        <v>0</v>
      </c>
      <c r="AS82" s="298">
        <f t="shared" si="36"/>
        <v>0</v>
      </c>
      <c r="AT82" s="298">
        <f t="shared" si="36"/>
        <v>0</v>
      </c>
      <c r="AU82" s="298">
        <f t="shared" si="36"/>
        <v>0</v>
      </c>
      <c r="AV82" s="298">
        <f t="shared" si="36"/>
        <v>0</v>
      </c>
      <c r="AW82" s="298">
        <f t="shared" si="36"/>
        <v>0</v>
      </c>
      <c r="AX82" s="298">
        <f t="shared" si="36"/>
        <v>0</v>
      </c>
      <c r="AY82" s="298">
        <f t="shared" si="36"/>
        <v>0</v>
      </c>
      <c r="AZ82" s="298">
        <f t="shared" si="36"/>
        <v>0</v>
      </c>
      <c r="BA82" s="298">
        <f t="shared" si="36"/>
        <v>0</v>
      </c>
      <c r="BB82" s="298">
        <f t="shared" si="36"/>
        <v>0</v>
      </c>
      <c r="BC82" s="298">
        <f t="shared" si="36"/>
        <v>0</v>
      </c>
      <c r="BD82" s="298">
        <f t="shared" si="36"/>
        <v>0</v>
      </c>
      <c r="BE82" s="298">
        <f t="shared" si="36"/>
        <v>0</v>
      </c>
      <c r="BF82" s="298">
        <f t="shared" si="36"/>
        <v>0</v>
      </c>
      <c r="BG82" s="298">
        <f t="shared" si="36"/>
        <v>0</v>
      </c>
      <c r="BH82" s="298">
        <f t="shared" si="36"/>
        <v>0</v>
      </c>
      <c r="BI82" s="298">
        <f t="shared" si="36"/>
        <v>0</v>
      </c>
      <c r="BJ82" s="298">
        <f t="shared" si="36"/>
        <v>0</v>
      </c>
      <c r="BK82" s="298">
        <f t="shared" si="36"/>
        <v>0</v>
      </c>
      <c r="BL82" s="298">
        <f t="shared" si="36"/>
        <v>0</v>
      </c>
      <c r="BM82" s="298">
        <f t="shared" si="36"/>
        <v>0</v>
      </c>
      <c r="BN82" s="298">
        <f t="shared" si="36"/>
        <v>0</v>
      </c>
      <c r="BO82" s="298">
        <f t="shared" si="36"/>
        <v>0</v>
      </c>
      <c r="BP82" s="298">
        <f t="shared" si="36"/>
        <v>0</v>
      </c>
      <c r="BQ82" s="298">
        <f t="shared" si="36"/>
        <v>0</v>
      </c>
      <c r="BR82" s="298">
        <f t="shared" si="36"/>
        <v>0</v>
      </c>
      <c r="BS82" s="298">
        <f t="shared" si="36"/>
        <v>0</v>
      </c>
      <c r="BT82" s="298">
        <f t="shared" si="36"/>
        <v>0</v>
      </c>
      <c r="BU82" s="298">
        <f t="shared" si="36"/>
        <v>0</v>
      </c>
      <c r="BV82" s="298">
        <f t="shared" si="36"/>
        <v>0</v>
      </c>
      <c r="BW82" s="298">
        <f t="shared" si="36"/>
        <v>0</v>
      </c>
      <c r="BX82" s="298">
        <f t="shared" si="36"/>
        <v>0</v>
      </c>
      <c r="BY82" s="538">
        <f>BZ75</f>
        <v>-88567832</v>
      </c>
      <c r="BZ82" s="570"/>
      <c r="CA82" s="229"/>
      <c r="CB82" s="229"/>
      <c r="CC82" s="229"/>
      <c r="CD82" s="229"/>
      <c r="CE82" s="229"/>
      <c r="CF82" s="229"/>
      <c r="CG82" s="229"/>
      <c r="CH82" s="229"/>
      <c r="CI82" s="229"/>
    </row>
    <row r="83" spans="2:87" ht="15.95">
      <c r="B83" s="540" t="s">
        <v>256</v>
      </c>
      <c r="C83" s="563"/>
      <c r="D83" s="297"/>
      <c r="E83" s="298">
        <f>E82</f>
        <v>0</v>
      </c>
      <c r="F83" s="298">
        <f t="shared" ref="F83:BX83" si="37">E83+F82</f>
        <v>0</v>
      </c>
      <c r="G83" s="298">
        <f t="shared" si="37"/>
        <v>0</v>
      </c>
      <c r="H83" s="298">
        <f t="shared" si="37"/>
        <v>0</v>
      </c>
      <c r="I83" s="298">
        <f t="shared" si="37"/>
        <v>-87324</v>
      </c>
      <c r="J83" s="298">
        <f t="shared" si="37"/>
        <v>-187324</v>
      </c>
      <c r="K83" s="298">
        <f t="shared" si="37"/>
        <v>-187924</v>
      </c>
      <c r="L83" s="298">
        <f t="shared" si="37"/>
        <v>-5212045.0999999996</v>
      </c>
      <c r="M83" s="298">
        <f t="shared" si="37"/>
        <v>-5212652.54</v>
      </c>
      <c r="N83" s="298">
        <f t="shared" si="37"/>
        <v>-5278873.54</v>
      </c>
      <c r="O83" s="298">
        <f t="shared" si="37"/>
        <v>-5304961.4325619834</v>
      </c>
      <c r="P83" s="298">
        <f t="shared" si="37"/>
        <v>-5336360.1185123967</v>
      </c>
      <c r="Q83" s="298">
        <f t="shared" si="37"/>
        <v>-7728982.5317355376</v>
      </c>
      <c r="R83" s="298">
        <f t="shared" si="37"/>
        <v>-7959775.5961157028</v>
      </c>
      <c r="S83" s="298">
        <f t="shared" si="37"/>
        <v>-8981521.040661158</v>
      </c>
      <c r="T83" s="298">
        <f t="shared" si="37"/>
        <v>-9528859.0306611583</v>
      </c>
      <c r="U83" s="298">
        <f t="shared" si="37"/>
        <v>-9711587.6322314069</v>
      </c>
      <c r="V83" s="298">
        <f t="shared" si="37"/>
        <v>-10414669.002396695</v>
      </c>
      <c r="W83" s="298">
        <f t="shared" si="37"/>
        <v>-32392727.645289257</v>
      </c>
      <c r="X83" s="298">
        <f t="shared" si="37"/>
        <v>-32561257.899752066</v>
      </c>
      <c r="Y83" s="298">
        <f t="shared" si="37"/>
        <v>-32729200.988925621</v>
      </c>
      <c r="Z83" s="298">
        <f t="shared" si="37"/>
        <v>-32895714.76404959</v>
      </c>
      <c r="AA83" s="298">
        <f t="shared" si="37"/>
        <v>-33074171.853223145</v>
      </c>
      <c r="AB83" s="298">
        <f t="shared" si="37"/>
        <v>-33541679.793636367</v>
      </c>
      <c r="AC83" s="298">
        <f t="shared" si="37"/>
        <v>-35748674.578342989</v>
      </c>
      <c r="AD83" s="298">
        <f t="shared" si="37"/>
        <v>-44945326.862943545</v>
      </c>
      <c r="AE83" s="298">
        <f t="shared" si="37"/>
        <v>-53431762.564210765</v>
      </c>
      <c r="AF83" s="298">
        <f t="shared" si="37"/>
        <v>-62080379.932144649</v>
      </c>
      <c r="AG83" s="298">
        <f t="shared" si="37"/>
        <v>-70648433.966745198</v>
      </c>
      <c r="AH83" s="298">
        <f t="shared" si="37"/>
        <v>-79033741.334679082</v>
      </c>
      <c r="AI83" s="298">
        <f t="shared" si="37"/>
        <v>-87603798.702612966</v>
      </c>
      <c r="AJ83" s="298">
        <f t="shared" si="37"/>
        <v>-96092439.403880179</v>
      </c>
      <c r="AK83" s="298">
        <f t="shared" si="37"/>
        <v>-103821737.07181406</v>
      </c>
      <c r="AL83" s="298">
        <f t="shared" si="37"/>
        <v>-113093740.48974794</v>
      </c>
      <c r="AM83" s="298">
        <f t="shared" si="37"/>
        <v>-204733944.23387229</v>
      </c>
      <c r="AN83" s="298">
        <f t="shared" si="37"/>
        <v>-204733944.23387229</v>
      </c>
      <c r="AO83" s="298">
        <f t="shared" si="37"/>
        <v>-204733944.23387229</v>
      </c>
      <c r="AP83" s="298">
        <f t="shared" si="37"/>
        <v>-204733944.23387229</v>
      </c>
      <c r="AQ83" s="298">
        <f t="shared" si="37"/>
        <v>-204733944.23387229</v>
      </c>
      <c r="AR83" s="298">
        <f t="shared" si="37"/>
        <v>-204733944.23387229</v>
      </c>
      <c r="AS83" s="298">
        <f t="shared" si="37"/>
        <v>-204733944.23387229</v>
      </c>
      <c r="AT83" s="298">
        <f t="shared" si="37"/>
        <v>-204733944.23387229</v>
      </c>
      <c r="AU83" s="298">
        <f t="shared" si="37"/>
        <v>-204733944.23387229</v>
      </c>
      <c r="AV83" s="298">
        <f t="shared" si="37"/>
        <v>-204733944.23387229</v>
      </c>
      <c r="AW83" s="298">
        <f t="shared" si="37"/>
        <v>-204733944.23387229</v>
      </c>
      <c r="AX83" s="298">
        <f t="shared" si="37"/>
        <v>-204733944.23387229</v>
      </c>
      <c r="AY83" s="298">
        <f t="shared" si="37"/>
        <v>-204733944.23387229</v>
      </c>
      <c r="AZ83" s="298">
        <f t="shared" si="37"/>
        <v>-204733944.23387229</v>
      </c>
      <c r="BA83" s="298">
        <f t="shared" si="37"/>
        <v>-204733944.23387229</v>
      </c>
      <c r="BB83" s="298">
        <f t="shared" si="37"/>
        <v>-204733944.23387229</v>
      </c>
      <c r="BC83" s="298">
        <f t="shared" si="37"/>
        <v>-204733944.23387229</v>
      </c>
      <c r="BD83" s="298">
        <f t="shared" si="37"/>
        <v>-204733944.23387229</v>
      </c>
      <c r="BE83" s="298">
        <f t="shared" si="37"/>
        <v>-204733944.23387229</v>
      </c>
      <c r="BF83" s="298">
        <f t="shared" si="37"/>
        <v>-204733944.23387229</v>
      </c>
      <c r="BG83" s="298">
        <f t="shared" si="37"/>
        <v>-204733944.23387229</v>
      </c>
      <c r="BH83" s="298">
        <f t="shared" si="37"/>
        <v>-204733944.23387229</v>
      </c>
      <c r="BI83" s="298">
        <f t="shared" si="37"/>
        <v>-204733944.23387229</v>
      </c>
      <c r="BJ83" s="298">
        <f t="shared" si="37"/>
        <v>-204733944.23387229</v>
      </c>
      <c r="BK83" s="298">
        <f t="shared" si="37"/>
        <v>-204733944.23387229</v>
      </c>
      <c r="BL83" s="298">
        <f t="shared" si="37"/>
        <v>-204733944.23387229</v>
      </c>
      <c r="BM83" s="298">
        <f t="shared" si="37"/>
        <v>-204733944.23387229</v>
      </c>
      <c r="BN83" s="298">
        <f t="shared" si="37"/>
        <v>-204733944.23387229</v>
      </c>
      <c r="BO83" s="298">
        <f t="shared" si="37"/>
        <v>-204733944.23387229</v>
      </c>
      <c r="BP83" s="298">
        <f t="shared" si="37"/>
        <v>-204733944.23387229</v>
      </c>
      <c r="BQ83" s="298">
        <f t="shared" si="37"/>
        <v>-204733944.23387229</v>
      </c>
      <c r="BR83" s="298">
        <f t="shared" si="37"/>
        <v>-204733944.23387229</v>
      </c>
      <c r="BS83" s="298">
        <f t="shared" si="37"/>
        <v>-204733944.23387229</v>
      </c>
      <c r="BT83" s="298">
        <f t="shared" si="37"/>
        <v>-204733944.23387229</v>
      </c>
      <c r="BU83" s="298">
        <f t="shared" si="37"/>
        <v>-204733944.23387229</v>
      </c>
      <c r="BV83" s="298">
        <f t="shared" si="37"/>
        <v>-204733944.23387229</v>
      </c>
      <c r="BW83" s="298">
        <f t="shared" si="37"/>
        <v>-204733944.23387229</v>
      </c>
      <c r="BX83" s="298">
        <f t="shared" si="37"/>
        <v>-204733944.23387229</v>
      </c>
      <c r="BY83" s="538">
        <f>BY74+BY82</f>
        <v>-204733944.23387229</v>
      </c>
      <c r="BZ83" s="570"/>
      <c r="CA83" s="229"/>
      <c r="CB83" s="229"/>
      <c r="CC83" s="229"/>
      <c r="CD83" s="229"/>
      <c r="CE83" s="229"/>
      <c r="CF83" s="229"/>
      <c r="CG83" s="229"/>
      <c r="CH83" s="229"/>
      <c r="CI83" s="229"/>
    </row>
    <row r="84" spans="2:87" ht="15.95">
      <c r="B84" s="541" t="s">
        <v>257</v>
      </c>
      <c r="C84" s="563"/>
      <c r="D84" s="299"/>
      <c r="E84" s="300">
        <f t="shared" ref="E84:BX84" si="38">E17+E82</f>
        <v>0</v>
      </c>
      <c r="F84" s="300">
        <f t="shared" si="38"/>
        <v>0</v>
      </c>
      <c r="G84" s="300">
        <f t="shared" si="38"/>
        <v>0</v>
      </c>
      <c r="H84" s="300">
        <f t="shared" si="38"/>
        <v>0</v>
      </c>
      <c r="I84" s="300">
        <f t="shared" si="38"/>
        <v>0</v>
      </c>
      <c r="J84" s="300">
        <f t="shared" si="38"/>
        <v>0</v>
      </c>
      <c r="K84" s="300">
        <f t="shared" si="38"/>
        <v>-600</v>
      </c>
      <c r="L84" s="300">
        <f t="shared" si="38"/>
        <v>378.90000000037253</v>
      </c>
      <c r="M84" s="301">
        <f t="shared" si="38"/>
        <v>392.55999999999995</v>
      </c>
      <c r="N84" s="300">
        <f t="shared" si="38"/>
        <v>3</v>
      </c>
      <c r="O84" s="301">
        <f t="shared" si="38"/>
        <v>-370</v>
      </c>
      <c r="P84" s="301">
        <f t="shared" si="38"/>
        <v>3956209</v>
      </c>
      <c r="Q84" s="301">
        <f t="shared" si="38"/>
        <v>-2468128</v>
      </c>
      <c r="R84" s="301">
        <f t="shared" si="38"/>
        <v>-268627.7279</v>
      </c>
      <c r="S84" s="301">
        <f t="shared" si="38"/>
        <v>-1057800.4379</v>
      </c>
      <c r="T84" s="301">
        <f t="shared" si="38"/>
        <v>-140555.7279</v>
      </c>
      <c r="U84" s="300">
        <f t="shared" si="38"/>
        <v>-17969.727899999998</v>
      </c>
      <c r="V84" s="300">
        <f t="shared" si="38"/>
        <v>209969.27210000006</v>
      </c>
      <c r="W84" s="300">
        <f t="shared" si="38"/>
        <v>-159859.72789999843</v>
      </c>
      <c r="X84" s="301">
        <f t="shared" si="38"/>
        <v>1380861.2720999999</v>
      </c>
      <c r="Y84" s="301">
        <f t="shared" si="38"/>
        <v>131280.27210000003</v>
      </c>
      <c r="Z84" s="301">
        <f t="shared" si="38"/>
        <v>-201352.7279</v>
      </c>
      <c r="AA84" s="301">
        <f t="shared" si="38"/>
        <v>4366573.2721000006</v>
      </c>
      <c r="AB84" s="301">
        <f t="shared" si="38"/>
        <v>-528209.72789999994</v>
      </c>
      <c r="AC84" s="300">
        <f t="shared" si="38"/>
        <v>5737921.4469537083</v>
      </c>
      <c r="AD84" s="301">
        <f t="shared" si="38"/>
        <v>-9344324.4436798915</v>
      </c>
      <c r="AE84" s="301">
        <f t="shared" si="38"/>
        <v>-1444027.1416005511</v>
      </c>
      <c r="AF84" s="301">
        <f t="shared" si="38"/>
        <v>79403.297899447381</v>
      </c>
      <c r="AG84" s="301">
        <f t="shared" si="38"/>
        <v>9857419.1653994471</v>
      </c>
      <c r="AH84" s="301">
        <f t="shared" si="38"/>
        <v>-7372177.2817079881</v>
      </c>
      <c r="AI84" s="301">
        <f t="shared" si="38"/>
        <v>-2313447.2346005514</v>
      </c>
      <c r="AJ84" s="301">
        <f t="shared" si="38"/>
        <v>-224074.03460055124</v>
      </c>
      <c r="AK84" s="301">
        <f t="shared" si="38"/>
        <v>-57051.19760055095</v>
      </c>
      <c r="AL84" s="301">
        <f t="shared" si="38"/>
        <v>-60514.193468319252</v>
      </c>
      <c r="AM84" s="301">
        <f t="shared" si="38"/>
        <v>21997055.052023783</v>
      </c>
      <c r="AN84" s="301">
        <f t="shared" si="38"/>
        <v>0</v>
      </c>
      <c r="AO84" s="300">
        <f t="shared" si="38"/>
        <v>0</v>
      </c>
      <c r="AP84" s="301">
        <f t="shared" si="38"/>
        <v>0</v>
      </c>
      <c r="AQ84" s="301">
        <f t="shared" si="38"/>
        <v>0</v>
      </c>
      <c r="AR84" s="301">
        <f t="shared" si="38"/>
        <v>0</v>
      </c>
      <c r="AS84" s="300">
        <f t="shared" si="38"/>
        <v>0</v>
      </c>
      <c r="AT84" s="300">
        <f t="shared" si="38"/>
        <v>0</v>
      </c>
      <c r="AU84" s="300">
        <f t="shared" si="38"/>
        <v>0</v>
      </c>
      <c r="AV84" s="300">
        <f t="shared" si="38"/>
        <v>0</v>
      </c>
      <c r="AW84" s="300">
        <f t="shared" si="38"/>
        <v>0</v>
      </c>
      <c r="AX84" s="300">
        <f t="shared" si="38"/>
        <v>0</v>
      </c>
      <c r="AY84" s="300">
        <f t="shared" si="38"/>
        <v>0</v>
      </c>
      <c r="AZ84" s="300">
        <f t="shared" si="38"/>
        <v>0</v>
      </c>
      <c r="BA84" s="300">
        <f t="shared" si="38"/>
        <v>0</v>
      </c>
      <c r="BB84" s="300">
        <f t="shared" si="38"/>
        <v>0</v>
      </c>
      <c r="BC84" s="300">
        <f t="shared" si="38"/>
        <v>0</v>
      </c>
      <c r="BD84" s="300">
        <f t="shared" si="38"/>
        <v>0</v>
      </c>
      <c r="BE84" s="300">
        <f t="shared" si="38"/>
        <v>0</v>
      </c>
      <c r="BF84" s="300">
        <f t="shared" si="38"/>
        <v>0</v>
      </c>
      <c r="BG84" s="300">
        <f t="shared" si="38"/>
        <v>0</v>
      </c>
      <c r="BH84" s="300">
        <f t="shared" si="38"/>
        <v>0</v>
      </c>
      <c r="BI84" s="300">
        <f t="shared" si="38"/>
        <v>0</v>
      </c>
      <c r="BJ84" s="300">
        <f t="shared" si="38"/>
        <v>0</v>
      </c>
      <c r="BK84" s="300">
        <f t="shared" si="38"/>
        <v>0</v>
      </c>
      <c r="BL84" s="302">
        <f t="shared" si="38"/>
        <v>0</v>
      </c>
      <c r="BM84" s="302">
        <f t="shared" si="38"/>
        <v>0</v>
      </c>
      <c r="BN84" s="302">
        <f t="shared" si="38"/>
        <v>0</v>
      </c>
      <c r="BO84" s="302">
        <f t="shared" si="38"/>
        <v>0</v>
      </c>
      <c r="BP84" s="302">
        <f t="shared" si="38"/>
        <v>0</v>
      </c>
      <c r="BQ84" s="302">
        <f t="shared" si="38"/>
        <v>0</v>
      </c>
      <c r="BR84" s="302">
        <f t="shared" si="38"/>
        <v>0</v>
      </c>
      <c r="BS84" s="302">
        <f t="shared" si="38"/>
        <v>0</v>
      </c>
      <c r="BT84" s="302">
        <f t="shared" si="38"/>
        <v>0</v>
      </c>
      <c r="BU84" s="302">
        <f t="shared" si="38"/>
        <v>0</v>
      </c>
      <c r="BV84" s="302">
        <f t="shared" si="38"/>
        <v>0</v>
      </c>
      <c r="BW84" s="302">
        <f t="shared" si="38"/>
        <v>0</v>
      </c>
      <c r="BX84" s="302">
        <f t="shared" si="38"/>
        <v>0</v>
      </c>
      <c r="BY84" s="539">
        <f>BY17+BY74+BY82</f>
        <v>22058377.178118005</v>
      </c>
      <c r="BZ84" s="572"/>
      <c r="CA84" s="229"/>
      <c r="CB84" s="229"/>
      <c r="CC84" s="229"/>
      <c r="CD84" s="229"/>
      <c r="CE84" s="229"/>
      <c r="CF84" s="503"/>
      <c r="CG84" s="229"/>
      <c r="CH84" s="229"/>
      <c r="CI84" s="229"/>
    </row>
    <row r="85" spans="2:87">
      <c r="B85" s="542" t="s">
        <v>258</v>
      </c>
      <c r="C85" s="563"/>
      <c r="D85" s="303"/>
      <c r="E85" s="304">
        <f>E84</f>
        <v>0</v>
      </c>
      <c r="F85" s="304">
        <f t="shared" ref="F85:BX85" si="39">F84+E85</f>
        <v>0</v>
      </c>
      <c r="G85" s="304">
        <f t="shared" si="39"/>
        <v>0</v>
      </c>
      <c r="H85" s="304">
        <f t="shared" si="39"/>
        <v>0</v>
      </c>
      <c r="I85" s="304">
        <f t="shared" si="39"/>
        <v>0</v>
      </c>
      <c r="J85" s="304">
        <f t="shared" si="39"/>
        <v>0</v>
      </c>
      <c r="K85" s="304">
        <f t="shared" si="39"/>
        <v>-600</v>
      </c>
      <c r="L85" s="304">
        <f t="shared" si="39"/>
        <v>-221.09999999962747</v>
      </c>
      <c r="M85" s="304">
        <f t="shared" si="39"/>
        <v>171.46000000037247</v>
      </c>
      <c r="N85" s="304">
        <f t="shared" si="39"/>
        <v>174.46000000037247</v>
      </c>
      <c r="O85" s="304">
        <f t="shared" si="39"/>
        <v>-195.53999999962753</v>
      </c>
      <c r="P85" s="304">
        <f t="shared" si="39"/>
        <v>3956013.4600000004</v>
      </c>
      <c r="Q85" s="304">
        <f t="shared" si="39"/>
        <v>1487885.4600000004</v>
      </c>
      <c r="R85" s="304">
        <f t="shared" si="39"/>
        <v>1219257.7321000004</v>
      </c>
      <c r="S85" s="304">
        <f t="shared" si="39"/>
        <v>161457.29420000035</v>
      </c>
      <c r="T85" s="304">
        <f t="shared" si="39"/>
        <v>20901.566300000355</v>
      </c>
      <c r="U85" s="304">
        <f t="shared" si="39"/>
        <v>2931.8384000003571</v>
      </c>
      <c r="V85" s="304">
        <f t="shared" si="39"/>
        <v>212901.11050000042</v>
      </c>
      <c r="W85" s="304">
        <f t="shared" si="39"/>
        <v>53041.382600001991</v>
      </c>
      <c r="X85" s="304">
        <f t="shared" si="39"/>
        <v>1433902.6547000019</v>
      </c>
      <c r="Y85" s="304">
        <f t="shared" si="39"/>
        <v>1565182.9268000019</v>
      </c>
      <c r="Z85" s="304">
        <f t="shared" si="39"/>
        <v>1363830.1989000018</v>
      </c>
      <c r="AA85" s="304">
        <f t="shared" si="39"/>
        <v>5730403.4710000027</v>
      </c>
      <c r="AB85" s="304">
        <f t="shared" si="39"/>
        <v>5202193.7431000024</v>
      </c>
      <c r="AC85" s="304">
        <f t="shared" si="39"/>
        <v>10940115.190053711</v>
      </c>
      <c r="AD85" s="304">
        <f t="shared" si="39"/>
        <v>1595790.7463738192</v>
      </c>
      <c r="AE85" s="304">
        <f t="shared" si="39"/>
        <v>151763.6047732681</v>
      </c>
      <c r="AF85" s="304">
        <f t="shared" si="39"/>
        <v>231166.90267271549</v>
      </c>
      <c r="AG85" s="304">
        <f t="shared" si="39"/>
        <v>10088586.068072163</v>
      </c>
      <c r="AH85" s="304">
        <f t="shared" si="39"/>
        <v>2716408.7863641744</v>
      </c>
      <c r="AI85" s="304">
        <f t="shared" si="39"/>
        <v>402961.55176362302</v>
      </c>
      <c r="AJ85" s="304">
        <f t="shared" si="39"/>
        <v>178887.51716307178</v>
      </c>
      <c r="AK85" s="304">
        <f t="shared" si="39"/>
        <v>121836.31956252083</v>
      </c>
      <c r="AL85" s="304">
        <f t="shared" si="39"/>
        <v>61322.12609420158</v>
      </c>
      <c r="AM85" s="304">
        <f t="shared" si="39"/>
        <v>22058377.178117983</v>
      </c>
      <c r="AN85" s="304">
        <f t="shared" si="39"/>
        <v>22058377.178117983</v>
      </c>
      <c r="AO85" s="304">
        <f t="shared" si="39"/>
        <v>22058377.178117983</v>
      </c>
      <c r="AP85" s="304">
        <f t="shared" si="39"/>
        <v>22058377.178117983</v>
      </c>
      <c r="AQ85" s="304">
        <f t="shared" si="39"/>
        <v>22058377.178117983</v>
      </c>
      <c r="AR85" s="304">
        <f t="shared" si="39"/>
        <v>22058377.178117983</v>
      </c>
      <c r="AS85" s="304">
        <f t="shared" si="39"/>
        <v>22058377.178117983</v>
      </c>
      <c r="AT85" s="304">
        <f t="shared" si="39"/>
        <v>22058377.178117983</v>
      </c>
      <c r="AU85" s="304">
        <f t="shared" si="39"/>
        <v>22058377.178117983</v>
      </c>
      <c r="AV85" s="304">
        <f t="shared" si="39"/>
        <v>22058377.178117983</v>
      </c>
      <c r="AW85" s="304">
        <f t="shared" si="39"/>
        <v>22058377.178117983</v>
      </c>
      <c r="AX85" s="304">
        <f t="shared" si="39"/>
        <v>22058377.178117983</v>
      </c>
      <c r="AY85" s="304">
        <f t="shared" si="39"/>
        <v>22058377.178117983</v>
      </c>
      <c r="AZ85" s="304">
        <f t="shared" si="39"/>
        <v>22058377.178117983</v>
      </c>
      <c r="BA85" s="304">
        <f t="shared" si="39"/>
        <v>22058377.178117983</v>
      </c>
      <c r="BB85" s="304">
        <f t="shared" si="39"/>
        <v>22058377.178117983</v>
      </c>
      <c r="BC85" s="304">
        <f t="shared" si="39"/>
        <v>22058377.178117983</v>
      </c>
      <c r="BD85" s="304">
        <f t="shared" si="39"/>
        <v>22058377.178117983</v>
      </c>
      <c r="BE85" s="304">
        <f t="shared" si="39"/>
        <v>22058377.178117983</v>
      </c>
      <c r="BF85" s="304">
        <f t="shared" si="39"/>
        <v>22058377.178117983</v>
      </c>
      <c r="BG85" s="304">
        <f t="shared" si="39"/>
        <v>22058377.178117983</v>
      </c>
      <c r="BH85" s="304">
        <f t="shared" si="39"/>
        <v>22058377.178117983</v>
      </c>
      <c r="BI85" s="304">
        <f t="shared" si="39"/>
        <v>22058377.178117983</v>
      </c>
      <c r="BJ85" s="304">
        <f t="shared" si="39"/>
        <v>22058377.178117983</v>
      </c>
      <c r="BK85" s="304">
        <f t="shared" si="39"/>
        <v>22058377.178117983</v>
      </c>
      <c r="BL85" s="304">
        <f t="shared" si="39"/>
        <v>22058377.178117983</v>
      </c>
      <c r="BM85" s="304">
        <f t="shared" si="39"/>
        <v>22058377.178117983</v>
      </c>
      <c r="BN85" s="304">
        <f t="shared" si="39"/>
        <v>22058377.178117983</v>
      </c>
      <c r="BO85" s="304">
        <f t="shared" si="39"/>
        <v>22058377.178117983</v>
      </c>
      <c r="BP85" s="304">
        <f t="shared" si="39"/>
        <v>22058377.178117983</v>
      </c>
      <c r="BQ85" s="304">
        <f t="shared" si="39"/>
        <v>22058377.178117983</v>
      </c>
      <c r="BR85" s="304">
        <f t="shared" si="39"/>
        <v>22058377.178117983</v>
      </c>
      <c r="BS85" s="304">
        <f t="shared" si="39"/>
        <v>22058377.178117983</v>
      </c>
      <c r="BT85" s="304">
        <f t="shared" si="39"/>
        <v>22058377.178117983</v>
      </c>
      <c r="BU85" s="304">
        <f t="shared" si="39"/>
        <v>22058377.178117983</v>
      </c>
      <c r="BV85" s="304">
        <f t="shared" si="39"/>
        <v>22058377.178117983</v>
      </c>
      <c r="BW85" s="304">
        <f t="shared" si="39"/>
        <v>22058377.178117983</v>
      </c>
      <c r="BX85" s="304">
        <f t="shared" si="39"/>
        <v>22058377.178117983</v>
      </c>
      <c r="BY85" s="229"/>
      <c r="BZ85" s="229"/>
      <c r="CA85" s="229"/>
      <c r="CB85" s="229"/>
      <c r="CC85" s="229"/>
      <c r="CD85" s="229"/>
      <c r="CE85" s="229"/>
      <c r="CF85" s="229"/>
      <c r="CG85" s="229"/>
      <c r="CH85" s="229"/>
      <c r="CI85" s="229"/>
    </row>
    <row r="86" spans="2:87">
      <c r="B86" s="229"/>
      <c r="C86" s="229"/>
      <c r="D86" s="229"/>
      <c r="E86" s="229"/>
      <c r="F86" s="229"/>
      <c r="G86" s="229"/>
      <c r="H86" s="229"/>
      <c r="I86" s="229"/>
      <c r="J86" s="229"/>
      <c r="K86" s="229"/>
      <c r="L86" s="229"/>
      <c r="M86" s="229"/>
      <c r="N86" s="229">
        <f>N83+N14+N15</f>
        <v>-5292649.54</v>
      </c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29"/>
      <c r="AA86" s="229"/>
      <c r="AB86" s="229"/>
      <c r="AC86" s="229"/>
      <c r="AD86" s="229"/>
      <c r="AE86" s="229"/>
      <c r="AF86" s="229"/>
      <c r="AG86" s="229"/>
      <c r="AH86" s="229"/>
      <c r="AI86" s="229"/>
      <c r="AJ86" s="229"/>
      <c r="AK86" s="229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29"/>
      <c r="BH86" s="229"/>
      <c r="BI86" s="229"/>
      <c r="BJ86" s="229"/>
      <c r="BK86" s="229"/>
      <c r="BL86" s="229"/>
      <c r="BM86" s="229"/>
      <c r="BN86" s="229"/>
      <c r="BO86" s="229"/>
      <c r="BP86" s="229"/>
      <c r="BQ86" s="229"/>
      <c r="BR86" s="229"/>
      <c r="BS86" s="229"/>
      <c r="BT86" s="229"/>
      <c r="BU86" s="229"/>
      <c r="BV86" s="229"/>
      <c r="BW86" s="229"/>
      <c r="BX86" s="229"/>
      <c r="BY86" s="305"/>
      <c r="BZ86" s="229"/>
      <c r="CA86" s="229"/>
      <c r="CB86" s="229"/>
      <c r="CC86" s="229"/>
      <c r="CD86" s="229"/>
      <c r="CE86" s="229"/>
      <c r="CF86" s="229"/>
      <c r="CG86" s="229"/>
      <c r="CH86" s="229"/>
      <c r="CI86" s="229"/>
    </row>
    <row r="87" spans="2:87">
      <c r="B87" s="229"/>
      <c r="C87" s="229"/>
      <c r="D87" s="229"/>
      <c r="E87" s="229"/>
      <c r="F87" s="229"/>
      <c r="G87" s="229"/>
      <c r="H87" s="229"/>
      <c r="I87" s="229"/>
      <c r="J87" s="229"/>
      <c r="K87" s="229"/>
      <c r="L87" s="229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229"/>
      <c r="Y87" s="229"/>
      <c r="Z87" s="229"/>
      <c r="AA87" s="229"/>
      <c r="AB87" s="229"/>
      <c r="AC87" s="229"/>
      <c r="AD87" s="229"/>
      <c r="AE87" s="229"/>
      <c r="AF87" s="229"/>
      <c r="AG87" s="229"/>
      <c r="AH87" s="229"/>
      <c r="AI87" s="229"/>
      <c r="AJ87" s="229"/>
      <c r="AK87" s="229"/>
      <c r="AL87" s="229"/>
      <c r="AM87" s="229"/>
      <c r="AN87" s="229"/>
      <c r="AO87" s="229"/>
      <c r="AP87" s="229"/>
      <c r="AQ87" s="229"/>
      <c r="AR87" s="229"/>
      <c r="AS87" s="229"/>
      <c r="AT87" s="229"/>
      <c r="AU87" s="229"/>
      <c r="AV87" s="229"/>
      <c r="AW87" s="229"/>
      <c r="AX87" s="229"/>
      <c r="AY87" s="229"/>
      <c r="AZ87" s="229"/>
      <c r="BA87" s="229"/>
      <c r="BB87" s="229"/>
      <c r="BC87" s="229"/>
      <c r="BD87" s="229"/>
      <c r="BE87" s="229"/>
      <c r="BF87" s="229"/>
      <c r="BG87" s="229"/>
      <c r="BH87" s="229"/>
      <c r="BI87" s="229"/>
      <c r="BJ87" s="229"/>
      <c r="BK87" s="229"/>
      <c r="BL87" s="229"/>
      <c r="BM87" s="229"/>
      <c r="BN87" s="229"/>
      <c r="BO87" s="229"/>
      <c r="BP87" s="229"/>
      <c r="BQ87" s="229"/>
      <c r="BR87" s="229"/>
      <c r="BS87" s="229"/>
      <c r="BT87" s="229"/>
      <c r="BU87" s="229"/>
      <c r="BV87" s="229"/>
      <c r="BW87" s="229"/>
      <c r="BX87" s="229"/>
      <c r="BY87" s="305"/>
      <c r="BZ87" s="229"/>
      <c r="CA87" s="229"/>
      <c r="CB87" s="229"/>
      <c r="CC87" s="229"/>
      <c r="CD87" s="229"/>
      <c r="CE87" s="229"/>
      <c r="CF87" s="229"/>
      <c r="CG87" s="229"/>
      <c r="CH87" s="229"/>
      <c r="CI87" s="229"/>
    </row>
    <row r="88" spans="2:87" hidden="1">
      <c r="B88" s="229"/>
      <c r="C88" s="229"/>
      <c r="D88" s="306" t="s">
        <v>259</v>
      </c>
      <c r="E88" s="306"/>
      <c r="F88" s="306"/>
      <c r="G88" s="306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G88" s="307"/>
      <c r="AH88" s="307"/>
      <c r="AI88" s="307"/>
      <c r="AJ88" s="307"/>
      <c r="AK88" s="307"/>
      <c r="AL88" s="307"/>
      <c r="AM88" s="307"/>
      <c r="AN88" s="307"/>
      <c r="AO88" s="307"/>
      <c r="AP88" s="307"/>
      <c r="AQ88" s="307"/>
      <c r="AR88" s="307"/>
      <c r="AS88" s="307"/>
      <c r="AT88" s="307"/>
      <c r="AU88" s="307"/>
      <c r="AV88" s="307"/>
      <c r="AW88" s="307"/>
      <c r="AX88" s="307"/>
      <c r="AY88" s="307"/>
      <c r="AZ88" s="307"/>
      <c r="BA88" s="307"/>
      <c r="BB88" s="307"/>
      <c r="BC88" s="307"/>
      <c r="BD88" s="307"/>
      <c r="BE88" s="307"/>
      <c r="BF88" s="307"/>
      <c r="BG88" s="307"/>
      <c r="BH88" s="307"/>
      <c r="BI88" s="307"/>
      <c r="BJ88" s="307"/>
      <c r="BK88" s="307"/>
      <c r="BL88" s="307"/>
      <c r="BM88" s="307"/>
      <c r="BN88" s="307"/>
      <c r="BO88" s="307"/>
      <c r="BP88" s="307"/>
      <c r="BQ88" s="307"/>
      <c r="BR88" s="307"/>
      <c r="BS88" s="307"/>
      <c r="BT88" s="307"/>
      <c r="BU88" s="307"/>
      <c r="BV88" s="307"/>
      <c r="BW88" s="307"/>
      <c r="BX88" s="307"/>
      <c r="BY88" s="305"/>
      <c r="BZ88" s="229"/>
      <c r="CA88" s="229"/>
      <c r="CB88" s="229"/>
      <c r="CC88" s="229"/>
      <c r="CD88" s="229"/>
      <c r="CE88" s="229"/>
      <c r="CF88" s="229"/>
      <c r="CG88" s="229"/>
      <c r="CH88" s="229"/>
      <c r="CI88" s="229"/>
    </row>
    <row r="89" spans="2:87" hidden="1">
      <c r="B89" s="229"/>
      <c r="C89" s="229"/>
      <c r="D89" s="229"/>
      <c r="E89" s="229"/>
      <c r="F89" s="229"/>
      <c r="G89" s="229"/>
      <c r="H89" s="229"/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  <c r="U89" s="229"/>
      <c r="V89" s="229"/>
      <c r="W89" s="229"/>
      <c r="X89" s="229"/>
      <c r="Y89" s="229"/>
      <c r="Z89" s="229"/>
      <c r="AA89" s="229"/>
      <c r="AB89" s="229"/>
      <c r="AC89" s="229"/>
      <c r="AD89" s="229"/>
      <c r="AE89" s="229"/>
      <c r="AF89" s="229"/>
      <c r="AG89" s="229"/>
      <c r="AH89" s="229"/>
      <c r="AI89" s="229"/>
      <c r="AJ89" s="229"/>
      <c r="AK89" s="229"/>
      <c r="AL89" s="229"/>
      <c r="AM89" s="229"/>
      <c r="AN89" s="229"/>
      <c r="AO89" s="229"/>
      <c r="AP89" s="229"/>
      <c r="AQ89" s="229"/>
      <c r="AR89" s="229"/>
      <c r="AS89" s="229"/>
      <c r="AT89" s="229"/>
      <c r="AU89" s="229"/>
      <c r="AV89" s="229"/>
      <c r="AW89" s="229"/>
      <c r="AX89" s="229"/>
      <c r="AY89" s="229"/>
      <c r="AZ89" s="229"/>
      <c r="BA89" s="229"/>
      <c r="BB89" s="229"/>
      <c r="BC89" s="229"/>
      <c r="BD89" s="229"/>
      <c r="BE89" s="229"/>
      <c r="BF89" s="229"/>
      <c r="BG89" s="229"/>
      <c r="BH89" s="229"/>
      <c r="BI89" s="229"/>
      <c r="BJ89" s="229"/>
      <c r="BK89" s="229"/>
      <c r="BL89" s="229"/>
      <c r="BM89" s="229"/>
      <c r="BN89" s="229"/>
      <c r="BO89" s="229"/>
      <c r="BP89" s="229"/>
      <c r="BQ89" s="229"/>
      <c r="BR89" s="229"/>
      <c r="BS89" s="229"/>
      <c r="BT89" s="229"/>
      <c r="BU89" s="229"/>
      <c r="BV89" s="229"/>
      <c r="BW89" s="229"/>
      <c r="BX89" s="229"/>
      <c r="BY89" s="305"/>
      <c r="BZ89" s="229"/>
      <c r="CA89" s="229"/>
      <c r="CB89" s="229"/>
      <c r="CC89" s="229"/>
      <c r="CD89" s="229"/>
      <c r="CE89" s="229"/>
      <c r="CF89" s="229"/>
      <c r="CG89" s="229"/>
      <c r="CH89" s="229"/>
      <c r="CI89" s="229"/>
    </row>
    <row r="90" spans="2:87" hidden="1">
      <c r="B90" s="229"/>
      <c r="C90" s="308" t="s">
        <v>260</v>
      </c>
      <c r="D90" s="309"/>
      <c r="E90" s="310">
        <f>E98+E114+E136+E153</f>
        <v>0</v>
      </c>
      <c r="F90" s="310">
        <f t="shared" ref="F90:H90" si="40">F98+F153</f>
        <v>0</v>
      </c>
      <c r="G90" s="310">
        <f t="shared" si="40"/>
        <v>0</v>
      </c>
      <c r="H90" s="310">
        <f t="shared" si="40"/>
        <v>0</v>
      </c>
      <c r="I90" s="310">
        <f t="shared" ref="I90:AI90" si="41">I98+I114</f>
        <v>-87324</v>
      </c>
      <c r="J90" s="310">
        <f t="shared" si="41"/>
        <v>-100000</v>
      </c>
      <c r="K90" s="310">
        <f t="shared" si="41"/>
        <v>3400000</v>
      </c>
      <c r="L90" s="310">
        <f t="shared" si="41"/>
        <v>-5024500</v>
      </c>
      <c r="M90" s="310">
        <f t="shared" si="41"/>
        <v>-1000</v>
      </c>
      <c r="N90" s="310">
        <f t="shared" si="41"/>
        <v>-80000</v>
      </c>
      <c r="O90" s="310">
        <f t="shared" si="41"/>
        <v>-31000</v>
      </c>
      <c r="P90" s="310">
        <f t="shared" si="41"/>
        <v>-3994008</v>
      </c>
      <c r="Q90" s="310">
        <f t="shared" si="41"/>
        <v>1918824</v>
      </c>
      <c r="R90" s="310">
        <f t="shared" si="41"/>
        <v>0</v>
      </c>
      <c r="S90" s="310">
        <f t="shared" si="41"/>
        <v>0</v>
      </c>
      <c r="T90" s="310">
        <f t="shared" si="41"/>
        <v>-500000</v>
      </c>
      <c r="U90" s="310">
        <f t="shared" si="41"/>
        <v>-203000</v>
      </c>
      <c r="V90" s="310">
        <f t="shared" si="41"/>
        <v>-825000</v>
      </c>
      <c r="W90" s="310">
        <f t="shared" si="41"/>
        <v>-21950000</v>
      </c>
      <c r="X90" s="310">
        <f t="shared" si="41"/>
        <v>-1500000</v>
      </c>
      <c r="Y90" s="310">
        <f t="shared" si="41"/>
        <v>0</v>
      </c>
      <c r="Z90" s="310">
        <f t="shared" si="41"/>
        <v>0</v>
      </c>
      <c r="AA90" s="310">
        <f t="shared" si="41"/>
        <v>0</v>
      </c>
      <c r="AB90" s="310">
        <f t="shared" si="41"/>
        <v>0</v>
      </c>
      <c r="AC90" s="310">
        <f t="shared" si="41"/>
        <v>1632000</v>
      </c>
      <c r="AD90" s="310">
        <f t="shared" si="41"/>
        <v>0</v>
      </c>
      <c r="AE90" s="310">
        <f t="shared" si="41"/>
        <v>0</v>
      </c>
      <c r="AF90" s="310">
        <f t="shared" si="41"/>
        <v>0</v>
      </c>
      <c r="AG90" s="310">
        <f t="shared" si="41"/>
        <v>0</v>
      </c>
      <c r="AH90" s="310">
        <f t="shared" si="41"/>
        <v>0</v>
      </c>
      <c r="AI90" s="310">
        <f t="shared" si="41"/>
        <v>0</v>
      </c>
      <c r="AJ90" s="310">
        <f t="shared" ref="AJ90:BW90" si="42">AJ98+AJ153</f>
        <v>0</v>
      </c>
      <c r="AK90" s="310">
        <f t="shared" si="42"/>
        <v>0</v>
      </c>
      <c r="AL90" s="310">
        <f t="shared" si="42"/>
        <v>0</v>
      </c>
      <c r="AM90" s="310">
        <f t="shared" si="42"/>
        <v>5483000</v>
      </c>
      <c r="AN90" s="310">
        <f t="shared" si="42"/>
        <v>0</v>
      </c>
      <c r="AO90" s="310">
        <f t="shared" si="42"/>
        <v>0</v>
      </c>
      <c r="AP90" s="310">
        <f t="shared" si="42"/>
        <v>0</v>
      </c>
      <c r="AQ90" s="310">
        <f t="shared" si="42"/>
        <v>0</v>
      </c>
      <c r="AR90" s="310">
        <f t="shared" si="42"/>
        <v>0</v>
      </c>
      <c r="AS90" s="310">
        <f t="shared" si="42"/>
        <v>0</v>
      </c>
      <c r="AT90" s="310">
        <f t="shared" si="42"/>
        <v>0</v>
      </c>
      <c r="AU90" s="310">
        <f t="shared" si="42"/>
        <v>0</v>
      </c>
      <c r="AV90" s="310">
        <f t="shared" si="42"/>
        <v>0</v>
      </c>
      <c r="AW90" s="310">
        <f t="shared" si="42"/>
        <v>0</v>
      </c>
      <c r="AX90" s="310">
        <f t="shared" si="42"/>
        <v>0</v>
      </c>
      <c r="AY90" s="310">
        <f t="shared" si="42"/>
        <v>0</v>
      </c>
      <c r="AZ90" s="310">
        <f t="shared" si="42"/>
        <v>0</v>
      </c>
      <c r="BA90" s="310">
        <f t="shared" si="42"/>
        <v>0</v>
      </c>
      <c r="BB90" s="310">
        <f t="shared" si="42"/>
        <v>0</v>
      </c>
      <c r="BC90" s="310">
        <f t="shared" si="42"/>
        <v>0</v>
      </c>
      <c r="BD90" s="310">
        <f t="shared" si="42"/>
        <v>0</v>
      </c>
      <c r="BE90" s="310">
        <f t="shared" si="42"/>
        <v>0</v>
      </c>
      <c r="BF90" s="310">
        <f t="shared" si="42"/>
        <v>0</v>
      </c>
      <c r="BG90" s="310">
        <f t="shared" si="42"/>
        <v>0</v>
      </c>
      <c r="BH90" s="310">
        <f t="shared" si="42"/>
        <v>0</v>
      </c>
      <c r="BI90" s="310">
        <f t="shared" si="42"/>
        <v>0</v>
      </c>
      <c r="BJ90" s="310">
        <f t="shared" si="42"/>
        <v>0</v>
      </c>
      <c r="BK90" s="310">
        <f t="shared" si="42"/>
        <v>0</v>
      </c>
      <c r="BL90" s="310">
        <f t="shared" si="42"/>
        <v>0</v>
      </c>
      <c r="BM90" s="310">
        <f t="shared" si="42"/>
        <v>0</v>
      </c>
      <c r="BN90" s="310">
        <f t="shared" si="42"/>
        <v>0</v>
      </c>
      <c r="BO90" s="310">
        <f t="shared" si="42"/>
        <v>0</v>
      </c>
      <c r="BP90" s="310">
        <f t="shared" si="42"/>
        <v>0</v>
      </c>
      <c r="BQ90" s="310">
        <f t="shared" si="42"/>
        <v>0</v>
      </c>
      <c r="BR90" s="310">
        <f t="shared" si="42"/>
        <v>0</v>
      </c>
      <c r="BS90" s="310">
        <f t="shared" si="42"/>
        <v>0</v>
      </c>
      <c r="BT90" s="310">
        <f t="shared" si="42"/>
        <v>0</v>
      </c>
      <c r="BU90" s="310">
        <f t="shared" si="42"/>
        <v>0</v>
      </c>
      <c r="BV90" s="310">
        <f t="shared" si="42"/>
        <v>0</v>
      </c>
      <c r="BW90" s="310">
        <f t="shared" si="42"/>
        <v>0</v>
      </c>
      <c r="BX90" s="310">
        <f>BX98+BX153+BX85</f>
        <v>22058377.178117983</v>
      </c>
      <c r="BY90" s="305"/>
      <c r="BZ90" s="229"/>
      <c r="CA90" s="229"/>
      <c r="CB90" s="229"/>
      <c r="CC90" s="229"/>
      <c r="CD90" s="229"/>
      <c r="CE90" s="229"/>
      <c r="CF90" s="229"/>
      <c r="CG90" s="229"/>
      <c r="CH90" s="229"/>
      <c r="CI90" s="229"/>
    </row>
    <row r="91" spans="2:87" hidden="1">
      <c r="B91" s="229"/>
      <c r="C91" s="311" t="s">
        <v>261</v>
      </c>
      <c r="D91" s="543">
        <f>IRR(I90:BX90)*12</f>
        <v>9.9640168704522942</v>
      </c>
      <c r="E91" s="568"/>
      <c r="F91" s="229"/>
      <c r="G91" s="229"/>
      <c r="H91" s="229"/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229"/>
      <c r="Y91" s="229"/>
      <c r="Z91" s="229"/>
      <c r="AA91" s="229"/>
      <c r="AB91" s="229"/>
      <c r="AC91" s="229"/>
      <c r="AD91" s="229"/>
      <c r="AE91" s="229"/>
      <c r="AF91" s="229"/>
      <c r="AG91" s="229"/>
      <c r="AH91" s="229"/>
      <c r="AI91" s="229"/>
      <c r="AJ91" s="229"/>
      <c r="AK91" s="229"/>
      <c r="AL91" s="229"/>
      <c r="AM91" s="229"/>
      <c r="AN91" s="229"/>
      <c r="AO91" s="229"/>
      <c r="AP91" s="229"/>
      <c r="AQ91" s="229"/>
      <c r="AR91" s="229"/>
      <c r="AS91" s="229"/>
      <c r="AT91" s="229"/>
      <c r="AU91" s="229"/>
      <c r="AV91" s="229"/>
      <c r="AW91" s="229"/>
      <c r="AX91" s="229"/>
      <c r="AY91" s="229"/>
      <c r="AZ91" s="229"/>
      <c r="BA91" s="229"/>
      <c r="BB91" s="229"/>
      <c r="BC91" s="229"/>
      <c r="BD91" s="229"/>
      <c r="BE91" s="229"/>
      <c r="BF91" s="229"/>
      <c r="BG91" s="229"/>
      <c r="BH91" s="229"/>
      <c r="BI91" s="229"/>
      <c r="BJ91" s="229"/>
      <c r="BK91" s="229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  <c r="BY91" s="305"/>
      <c r="BZ91" s="229"/>
      <c r="CA91" s="229"/>
      <c r="CB91" s="229"/>
      <c r="CC91" s="229"/>
      <c r="CD91" s="229"/>
      <c r="CE91" s="229"/>
      <c r="CF91" s="229"/>
      <c r="CG91" s="229"/>
      <c r="CH91" s="229"/>
      <c r="CI91" s="229"/>
    </row>
    <row r="92" spans="2:87" hidden="1">
      <c r="B92" s="229"/>
      <c r="C92" s="229"/>
      <c r="D92" s="229"/>
      <c r="E92" s="229"/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  <c r="AJ92" s="229"/>
      <c r="AK92" s="229"/>
      <c r="AL92" s="229"/>
      <c r="AM92" s="229"/>
      <c r="AN92" s="229"/>
      <c r="AO92" s="229"/>
      <c r="AP92" s="229"/>
      <c r="AQ92" s="229"/>
      <c r="AR92" s="229"/>
      <c r="AS92" s="229"/>
      <c r="AT92" s="229"/>
      <c r="AU92" s="229"/>
      <c r="AV92" s="229"/>
      <c r="AW92" s="229"/>
      <c r="AX92" s="229"/>
      <c r="AY92" s="229"/>
      <c r="AZ92" s="229"/>
      <c r="BA92" s="229"/>
      <c r="BB92" s="229"/>
      <c r="BC92" s="229"/>
      <c r="BD92" s="229"/>
      <c r="BE92" s="229"/>
      <c r="BF92" s="229"/>
      <c r="BG92" s="229"/>
      <c r="BH92" s="229"/>
      <c r="BI92" s="229"/>
      <c r="BJ92" s="229"/>
      <c r="BK92" s="229"/>
      <c r="BL92" s="229"/>
      <c r="BM92" s="229"/>
      <c r="BN92" s="229"/>
      <c r="BO92" s="229"/>
      <c r="BP92" s="229"/>
      <c r="BQ92" s="229"/>
      <c r="BR92" s="229"/>
      <c r="BS92" s="229"/>
      <c r="BT92" s="229"/>
      <c r="BU92" s="229"/>
      <c r="BV92" s="229"/>
      <c r="BW92" s="229"/>
      <c r="BX92" s="229"/>
      <c r="BY92" s="305"/>
      <c r="BZ92" s="229"/>
      <c r="CA92" s="229"/>
      <c r="CB92" s="229"/>
      <c r="CC92" s="229"/>
      <c r="CD92" s="229"/>
      <c r="CE92" s="229"/>
      <c r="CF92" s="229"/>
      <c r="CG92" s="229"/>
      <c r="CH92" s="229"/>
      <c r="CI92" s="229"/>
    </row>
    <row r="93" spans="2:87" hidden="1">
      <c r="B93" s="229"/>
      <c r="C93" s="229"/>
      <c r="D93" s="229"/>
      <c r="E93" s="229"/>
      <c r="F93" s="229"/>
      <c r="G93" s="229"/>
      <c r="H93" s="229"/>
      <c r="I93" s="229"/>
      <c r="J93" s="229"/>
      <c r="K93" s="229"/>
      <c r="L93" s="229"/>
      <c r="M93" s="229"/>
      <c r="N93" s="229"/>
      <c r="O93" s="229"/>
      <c r="P93" s="229"/>
      <c r="Q93" s="229"/>
      <c r="R93" s="229"/>
      <c r="S93" s="229"/>
      <c r="T93" s="229"/>
      <c r="U93" s="229"/>
      <c r="V93" s="229"/>
      <c r="W93" s="229"/>
      <c r="X93" s="229"/>
      <c r="Y93" s="229"/>
      <c r="Z93" s="229"/>
      <c r="AA93" s="229"/>
      <c r="AB93" s="229"/>
      <c r="AC93" s="229"/>
      <c r="AD93" s="229"/>
      <c r="AE93" s="229"/>
      <c r="AF93" s="229"/>
      <c r="AG93" s="229"/>
      <c r="AH93" s="229"/>
      <c r="AI93" s="229"/>
      <c r="AJ93" s="229"/>
      <c r="AK93" s="229"/>
      <c r="AL93" s="229"/>
      <c r="AM93" s="229"/>
      <c r="AN93" s="229"/>
      <c r="AO93" s="229"/>
      <c r="AP93" s="229"/>
      <c r="AQ93" s="229"/>
      <c r="AR93" s="229"/>
      <c r="AS93" s="229"/>
      <c r="AT93" s="229"/>
      <c r="AU93" s="229"/>
      <c r="AV93" s="229"/>
      <c r="AW93" s="229"/>
      <c r="AX93" s="229"/>
      <c r="AY93" s="229"/>
      <c r="AZ93" s="229"/>
      <c r="BA93" s="229"/>
      <c r="BB93" s="229"/>
      <c r="BC93" s="229"/>
      <c r="BD93" s="229"/>
      <c r="BE93" s="229"/>
      <c r="BF93" s="229"/>
      <c r="BG93" s="229"/>
      <c r="BH93" s="229"/>
      <c r="BI93" s="229"/>
      <c r="BJ93" s="229"/>
      <c r="BK93" s="229"/>
      <c r="BL93" s="229"/>
      <c r="BM93" s="229"/>
      <c r="BN93" s="229"/>
      <c r="BO93" s="229"/>
      <c r="BP93" s="229"/>
      <c r="BQ93" s="229"/>
      <c r="BR93" s="229"/>
      <c r="BS93" s="229"/>
      <c r="BT93" s="229"/>
      <c r="BU93" s="229"/>
      <c r="BV93" s="229"/>
      <c r="BW93" s="229"/>
      <c r="BX93" s="229"/>
      <c r="BY93" s="305"/>
      <c r="BZ93" s="229"/>
      <c r="CA93" s="229"/>
      <c r="CB93" s="229"/>
      <c r="CC93" s="229"/>
      <c r="CD93" s="229"/>
      <c r="CE93" s="229"/>
      <c r="CF93" s="229"/>
      <c r="CG93" s="229"/>
      <c r="CH93" s="229"/>
      <c r="CI93" s="229"/>
    </row>
    <row r="94" spans="2:87" ht="17.100000000000001" hidden="1">
      <c r="B94" s="229"/>
      <c r="C94" s="308" t="s">
        <v>262</v>
      </c>
      <c r="D94" s="573"/>
      <c r="E94" s="567"/>
      <c r="F94" s="567"/>
      <c r="G94" s="567"/>
      <c r="H94" s="567"/>
      <c r="I94" s="567"/>
      <c r="J94" s="567"/>
      <c r="K94" s="567"/>
      <c r="L94" s="567"/>
      <c r="M94" s="567"/>
      <c r="N94" s="567"/>
      <c r="O94" s="567"/>
      <c r="P94" s="567"/>
      <c r="Q94" s="567"/>
      <c r="R94" s="567"/>
      <c r="S94" s="567"/>
      <c r="T94" s="567"/>
      <c r="U94" s="567"/>
      <c r="V94" s="567"/>
      <c r="W94" s="567"/>
      <c r="X94" s="567"/>
      <c r="Y94" s="567"/>
      <c r="Z94" s="567"/>
      <c r="AA94" s="567"/>
      <c r="AB94" s="567"/>
      <c r="AC94" s="567"/>
      <c r="AD94" s="567"/>
      <c r="AE94" s="567"/>
      <c r="AF94" s="567"/>
      <c r="AG94" s="567"/>
      <c r="AH94" s="567"/>
      <c r="AI94" s="567"/>
      <c r="AJ94" s="567"/>
      <c r="AK94" s="567"/>
      <c r="AL94" s="567"/>
      <c r="AM94" s="567"/>
      <c r="AN94" s="567"/>
      <c r="AO94" s="567"/>
      <c r="AP94" s="567"/>
      <c r="AQ94" s="567"/>
      <c r="AR94" s="567"/>
      <c r="AS94" s="567"/>
      <c r="AT94" s="567"/>
      <c r="AU94" s="567"/>
      <c r="AV94" s="567"/>
      <c r="AW94" s="567"/>
      <c r="AX94" s="567"/>
      <c r="AY94" s="567"/>
      <c r="AZ94" s="567"/>
      <c r="BA94" s="567"/>
      <c r="BB94" s="567"/>
      <c r="BC94" s="567"/>
      <c r="BD94" s="567"/>
      <c r="BE94" s="567"/>
      <c r="BF94" s="567"/>
      <c r="BG94" s="567"/>
      <c r="BH94" s="567"/>
      <c r="BI94" s="567"/>
      <c r="BJ94" s="567"/>
      <c r="BK94" s="567"/>
      <c r="BL94" s="567"/>
      <c r="BM94" s="567"/>
      <c r="BN94" s="567"/>
      <c r="BO94" s="567"/>
      <c r="BP94" s="567"/>
      <c r="BQ94" s="567"/>
      <c r="BR94" s="567"/>
      <c r="BS94" s="567"/>
      <c r="BT94" s="567"/>
      <c r="BU94" s="567"/>
      <c r="BV94" s="567"/>
      <c r="BW94" s="568"/>
      <c r="BX94" s="313">
        <f>BX85*C95</f>
        <v>4411675.4356235964</v>
      </c>
      <c r="BY94" s="305"/>
      <c r="BZ94" s="229"/>
      <c r="CA94" s="229"/>
      <c r="CB94" s="229"/>
      <c r="CC94" s="229"/>
      <c r="CD94" s="229"/>
      <c r="CE94" s="229"/>
      <c r="CF94" s="229"/>
      <c r="CG94" s="229"/>
      <c r="CH94" s="229"/>
      <c r="CI94" s="229"/>
    </row>
    <row r="95" spans="2:87" ht="18.95" hidden="1">
      <c r="B95" s="229"/>
      <c r="C95" s="314">
        <v>0.2</v>
      </c>
      <c r="D95" s="229"/>
      <c r="E95" s="229"/>
      <c r="F95" s="229"/>
      <c r="G95" s="229"/>
      <c r="H95" s="229"/>
      <c r="I95" s="229"/>
      <c r="J95" s="229"/>
      <c r="K95" s="229"/>
      <c r="L95" s="229"/>
      <c r="M95" s="229"/>
      <c r="N95" s="229"/>
      <c r="O95" s="229"/>
      <c r="P95" s="229"/>
      <c r="Q95" s="229"/>
      <c r="R95" s="229"/>
      <c r="S95" s="229"/>
      <c r="T95" s="229"/>
      <c r="U95" s="229"/>
      <c r="V95" s="229"/>
      <c r="W95" s="229"/>
      <c r="X95" s="229"/>
      <c r="Y95" s="229"/>
      <c r="Z95" s="229"/>
      <c r="AA95" s="229"/>
      <c r="AB95" s="229"/>
      <c r="AC95" s="229"/>
      <c r="AD95" s="229"/>
      <c r="AE95" s="229"/>
      <c r="AF95" s="229"/>
      <c r="AG95" s="229"/>
      <c r="AH95" s="229"/>
      <c r="AI95" s="229"/>
      <c r="AJ95" s="229"/>
      <c r="AK95" s="229"/>
      <c r="AL95" s="229"/>
      <c r="AM95" s="229"/>
      <c r="AN95" s="229"/>
      <c r="AO95" s="229"/>
      <c r="AP95" s="229"/>
      <c r="AQ95" s="229"/>
      <c r="AR95" s="229"/>
      <c r="AS95" s="229"/>
      <c r="AT95" s="229"/>
      <c r="AU95" s="229"/>
      <c r="AV95" s="229"/>
      <c r="AW95" s="229"/>
      <c r="AX95" s="229"/>
      <c r="AY95" s="229"/>
      <c r="AZ95" s="229"/>
      <c r="BA95" s="229"/>
      <c r="BB95" s="229"/>
      <c r="BC95" s="229"/>
      <c r="BD95" s="229"/>
      <c r="BE95" s="229"/>
      <c r="BF95" s="229"/>
      <c r="BG95" s="229"/>
      <c r="BH95" s="229"/>
      <c r="BI95" s="229"/>
      <c r="BJ95" s="229"/>
      <c r="BK95" s="229"/>
      <c r="BL95" s="229"/>
      <c r="BM95" s="229"/>
      <c r="BN95" s="229"/>
      <c r="BO95" s="229"/>
      <c r="BP95" s="229"/>
      <c r="BQ95" s="229"/>
      <c r="BR95" s="229"/>
      <c r="BS95" s="229"/>
      <c r="BT95" s="229"/>
      <c r="BU95" s="229"/>
      <c r="BV95" s="229"/>
      <c r="BW95" s="229"/>
      <c r="BX95" s="229"/>
      <c r="BY95" s="305"/>
      <c r="BZ95" s="229"/>
      <c r="CA95" s="229"/>
      <c r="CB95" s="229"/>
      <c r="CC95" s="229"/>
      <c r="CD95" s="229"/>
      <c r="CE95" s="229"/>
      <c r="CF95" s="229"/>
      <c r="CG95" s="229"/>
      <c r="CH95" s="229"/>
      <c r="CI95" s="229"/>
    </row>
    <row r="98" spans="3:76">
      <c r="C98" s="308" t="s">
        <v>263</v>
      </c>
      <c r="D98" s="309"/>
      <c r="E98" s="310">
        <f t="shared" ref="E98:BX98" si="43">-(E5+E75)</f>
        <v>0</v>
      </c>
      <c r="F98" s="310">
        <f t="shared" si="43"/>
        <v>0</v>
      </c>
      <c r="G98" s="310">
        <f t="shared" si="43"/>
        <v>0</v>
      </c>
      <c r="H98" s="310">
        <f t="shared" si="43"/>
        <v>0</v>
      </c>
      <c r="I98" s="310">
        <f t="shared" si="43"/>
        <v>-87324</v>
      </c>
      <c r="J98" s="310">
        <f t="shared" si="43"/>
        <v>-100000</v>
      </c>
      <c r="K98" s="310">
        <f t="shared" si="43"/>
        <v>3400000</v>
      </c>
      <c r="L98" s="310">
        <f t="shared" si="43"/>
        <v>-5024500</v>
      </c>
      <c r="M98" s="310">
        <f t="shared" si="43"/>
        <v>-1000</v>
      </c>
      <c r="N98" s="310">
        <f t="shared" si="43"/>
        <v>-80000</v>
      </c>
      <c r="O98" s="310">
        <f t="shared" si="43"/>
        <v>-31000</v>
      </c>
      <c r="P98" s="310">
        <f t="shared" si="43"/>
        <v>0</v>
      </c>
      <c r="Q98" s="310">
        <f t="shared" si="43"/>
        <v>1918824</v>
      </c>
      <c r="R98" s="310">
        <f t="shared" si="43"/>
        <v>0</v>
      </c>
      <c r="S98" s="310">
        <f t="shared" si="43"/>
        <v>0</v>
      </c>
      <c r="T98" s="310">
        <f t="shared" si="43"/>
        <v>0</v>
      </c>
      <c r="U98" s="310">
        <f t="shared" si="43"/>
        <v>-203000</v>
      </c>
      <c r="V98" s="310">
        <f t="shared" si="43"/>
        <v>-825000</v>
      </c>
      <c r="W98" s="310">
        <f t="shared" si="43"/>
        <v>-2950000</v>
      </c>
      <c r="X98" s="310">
        <f t="shared" si="43"/>
        <v>-1500000</v>
      </c>
      <c r="Y98" s="310">
        <f t="shared" si="43"/>
        <v>0</v>
      </c>
      <c r="Z98" s="310">
        <f t="shared" si="43"/>
        <v>0</v>
      </c>
      <c r="AA98" s="310">
        <f t="shared" si="43"/>
        <v>0</v>
      </c>
      <c r="AB98" s="310">
        <f t="shared" si="43"/>
        <v>0</v>
      </c>
      <c r="AC98" s="310">
        <f t="shared" si="43"/>
        <v>0</v>
      </c>
      <c r="AD98" s="310">
        <f t="shared" si="43"/>
        <v>0</v>
      </c>
      <c r="AE98" s="310">
        <f t="shared" si="43"/>
        <v>0</v>
      </c>
      <c r="AF98" s="310">
        <f t="shared" si="43"/>
        <v>0</v>
      </c>
      <c r="AG98" s="310">
        <f t="shared" si="43"/>
        <v>0</v>
      </c>
      <c r="AH98" s="310">
        <f t="shared" si="43"/>
        <v>0</v>
      </c>
      <c r="AI98" s="310">
        <f t="shared" si="43"/>
        <v>0</v>
      </c>
      <c r="AJ98" s="310">
        <f t="shared" si="43"/>
        <v>0</v>
      </c>
      <c r="AK98" s="310">
        <f t="shared" si="43"/>
        <v>0</v>
      </c>
      <c r="AL98" s="310">
        <f t="shared" si="43"/>
        <v>0</v>
      </c>
      <c r="AM98" s="310">
        <f t="shared" si="43"/>
        <v>5483000</v>
      </c>
      <c r="AN98" s="310">
        <f t="shared" si="43"/>
        <v>0</v>
      </c>
      <c r="AO98" s="310">
        <f t="shared" si="43"/>
        <v>0</v>
      </c>
      <c r="AP98" s="310">
        <f t="shared" si="43"/>
        <v>0</v>
      </c>
      <c r="AQ98" s="310">
        <f t="shared" si="43"/>
        <v>0</v>
      </c>
      <c r="AR98" s="310">
        <f t="shared" si="43"/>
        <v>0</v>
      </c>
      <c r="AS98" s="310">
        <f t="shared" si="43"/>
        <v>0</v>
      </c>
      <c r="AT98" s="310">
        <f t="shared" si="43"/>
        <v>0</v>
      </c>
      <c r="AU98" s="310">
        <f t="shared" si="43"/>
        <v>0</v>
      </c>
      <c r="AV98" s="310">
        <f t="shared" si="43"/>
        <v>0</v>
      </c>
      <c r="AW98" s="310">
        <f t="shared" si="43"/>
        <v>0</v>
      </c>
      <c r="AX98" s="310">
        <f t="shared" si="43"/>
        <v>0</v>
      </c>
      <c r="AY98" s="310">
        <f t="shared" si="43"/>
        <v>0</v>
      </c>
      <c r="AZ98" s="310">
        <f t="shared" si="43"/>
        <v>0</v>
      </c>
      <c r="BA98" s="310">
        <f t="shared" si="43"/>
        <v>0</v>
      </c>
      <c r="BB98" s="310">
        <f t="shared" si="43"/>
        <v>0</v>
      </c>
      <c r="BC98" s="310">
        <f t="shared" si="43"/>
        <v>0</v>
      </c>
      <c r="BD98" s="310">
        <f t="shared" si="43"/>
        <v>0</v>
      </c>
      <c r="BE98" s="310">
        <f t="shared" si="43"/>
        <v>0</v>
      </c>
      <c r="BF98" s="310">
        <f t="shared" si="43"/>
        <v>0</v>
      </c>
      <c r="BG98" s="310">
        <f t="shared" si="43"/>
        <v>0</v>
      </c>
      <c r="BH98" s="310">
        <f t="shared" si="43"/>
        <v>0</v>
      </c>
      <c r="BI98" s="310">
        <f t="shared" si="43"/>
        <v>0</v>
      </c>
      <c r="BJ98" s="310">
        <f t="shared" si="43"/>
        <v>0</v>
      </c>
      <c r="BK98" s="310">
        <f t="shared" si="43"/>
        <v>0</v>
      </c>
      <c r="BL98" s="310">
        <f t="shared" si="43"/>
        <v>0</v>
      </c>
      <c r="BM98" s="310">
        <f t="shared" si="43"/>
        <v>0</v>
      </c>
      <c r="BN98" s="310">
        <f t="shared" si="43"/>
        <v>0</v>
      </c>
      <c r="BO98" s="310">
        <f t="shared" si="43"/>
        <v>0</v>
      </c>
      <c r="BP98" s="310">
        <f t="shared" si="43"/>
        <v>0</v>
      </c>
      <c r="BQ98" s="310">
        <f t="shared" si="43"/>
        <v>0</v>
      </c>
      <c r="BR98" s="310">
        <f t="shared" si="43"/>
        <v>0</v>
      </c>
      <c r="BS98" s="310">
        <f t="shared" si="43"/>
        <v>0</v>
      </c>
      <c r="BT98" s="310">
        <f t="shared" si="43"/>
        <v>0</v>
      </c>
      <c r="BU98" s="310">
        <f t="shared" si="43"/>
        <v>0</v>
      </c>
      <c r="BV98" s="310">
        <f t="shared" si="43"/>
        <v>0</v>
      </c>
      <c r="BW98" s="310">
        <f t="shared" si="43"/>
        <v>0</v>
      </c>
      <c r="BX98" s="310">
        <f t="shared" si="43"/>
        <v>0</v>
      </c>
    </row>
    <row r="99" spans="3:76">
      <c r="C99" s="308" t="s">
        <v>264</v>
      </c>
      <c r="D99" s="317"/>
      <c r="E99" s="309"/>
      <c r="F99" s="309"/>
      <c r="G99" s="309"/>
      <c r="H99" s="309"/>
      <c r="I99" s="309"/>
      <c r="J99" s="309"/>
      <c r="K99" s="309"/>
      <c r="L99" s="309"/>
      <c r="M99" s="309"/>
      <c r="N99" s="309"/>
      <c r="O99" s="309"/>
      <c r="P99" s="309"/>
      <c r="Q99" s="309"/>
      <c r="R99" s="309"/>
      <c r="S99" s="309"/>
      <c r="T99" s="309"/>
      <c r="U99" s="309"/>
      <c r="V99" s="309"/>
      <c r="W99" s="309"/>
      <c r="X99" s="309"/>
      <c r="Y99" s="309"/>
      <c r="Z99" s="309"/>
      <c r="AA99" s="309"/>
      <c r="AB99" s="309"/>
      <c r="AC99" s="309"/>
      <c r="AD99" s="309"/>
      <c r="AE99" s="309"/>
      <c r="AF99" s="309"/>
      <c r="AG99" s="309"/>
      <c r="AH99" s="309"/>
      <c r="AI99" s="309"/>
      <c r="AJ99" s="309"/>
      <c r="AK99" s="309"/>
      <c r="AL99" s="309"/>
      <c r="AM99" s="309"/>
      <c r="AN99" s="309"/>
      <c r="AO99" s="309"/>
      <c r="AP99" s="309"/>
      <c r="AQ99" s="309"/>
      <c r="AR99" s="309"/>
      <c r="AS99" s="309"/>
      <c r="AT99" s="309"/>
      <c r="AU99" s="309"/>
      <c r="AV99" s="309"/>
      <c r="AW99" s="309"/>
      <c r="AX99" s="309"/>
      <c r="AY99" s="309"/>
      <c r="AZ99" s="309"/>
      <c r="BA99" s="309"/>
      <c r="BB99" s="309"/>
      <c r="BC99" s="309"/>
      <c r="BD99" s="309"/>
      <c r="BE99" s="309"/>
      <c r="BF99" s="309"/>
      <c r="BG99" s="309"/>
      <c r="BH99" s="309"/>
      <c r="BI99" s="309"/>
      <c r="BJ99" s="309"/>
      <c r="BK99" s="309"/>
      <c r="BL99" s="309"/>
      <c r="BM99" s="309"/>
      <c r="BN99" s="309"/>
      <c r="BO99" s="309"/>
      <c r="BP99" s="309"/>
      <c r="BQ99" s="309"/>
      <c r="BR99" s="309"/>
      <c r="BS99" s="309"/>
      <c r="BT99" s="309"/>
      <c r="BU99" s="309"/>
      <c r="BV99" s="309"/>
      <c r="BW99" s="309"/>
      <c r="BX99" s="309"/>
    </row>
    <row r="100" spans="3:76">
      <c r="C100" s="308" t="s">
        <v>265</v>
      </c>
      <c r="D100" s="317"/>
      <c r="E100" s="309">
        <f t="shared" ref="E100:BX100" si="44">-E56</f>
        <v>0</v>
      </c>
      <c r="F100" s="309">
        <f t="shared" si="44"/>
        <v>0</v>
      </c>
      <c r="G100" s="309">
        <f t="shared" si="44"/>
        <v>0</v>
      </c>
      <c r="H100" s="309">
        <f t="shared" si="44"/>
        <v>0</v>
      </c>
      <c r="I100" s="309">
        <f t="shared" si="44"/>
        <v>0</v>
      </c>
      <c r="J100" s="309">
        <f t="shared" si="44"/>
        <v>0</v>
      </c>
      <c r="K100" s="309">
        <f t="shared" si="44"/>
        <v>0</v>
      </c>
      <c r="L100" s="309">
        <f t="shared" si="44"/>
        <v>0</v>
      </c>
      <c r="M100" s="309">
        <f t="shared" si="44"/>
        <v>0</v>
      </c>
      <c r="N100" s="309">
        <f t="shared" si="44"/>
        <v>0</v>
      </c>
      <c r="O100" s="309">
        <f t="shared" si="44"/>
        <v>0</v>
      </c>
      <c r="P100" s="309">
        <f t="shared" si="44"/>
        <v>0</v>
      </c>
      <c r="Q100" s="309">
        <f t="shared" si="44"/>
        <v>113313</v>
      </c>
      <c r="R100" s="309">
        <f t="shared" si="44"/>
        <v>0</v>
      </c>
      <c r="S100" s="309">
        <f t="shared" si="44"/>
        <v>0</v>
      </c>
      <c r="T100" s="309">
        <f t="shared" si="44"/>
        <v>0</v>
      </c>
      <c r="U100" s="309">
        <f t="shared" si="44"/>
        <v>0</v>
      </c>
      <c r="V100" s="309">
        <f t="shared" si="44"/>
        <v>0</v>
      </c>
      <c r="W100" s="309">
        <f t="shared" si="44"/>
        <v>0</v>
      </c>
      <c r="X100" s="309">
        <f t="shared" si="44"/>
        <v>0</v>
      </c>
      <c r="Y100" s="309">
        <f t="shared" si="44"/>
        <v>0</v>
      </c>
      <c r="Z100" s="309">
        <f t="shared" si="44"/>
        <v>0</v>
      </c>
      <c r="AA100" s="309">
        <f t="shared" si="44"/>
        <v>0</v>
      </c>
      <c r="AB100" s="309">
        <f t="shared" si="44"/>
        <v>0</v>
      </c>
      <c r="AC100" s="309">
        <f t="shared" si="44"/>
        <v>0</v>
      </c>
      <c r="AD100" s="309">
        <f t="shared" si="44"/>
        <v>0</v>
      </c>
      <c r="AE100" s="309">
        <f t="shared" si="44"/>
        <v>0</v>
      </c>
      <c r="AF100" s="309">
        <f t="shared" si="44"/>
        <v>0</v>
      </c>
      <c r="AG100" s="309">
        <f t="shared" si="44"/>
        <v>0</v>
      </c>
      <c r="AH100" s="309">
        <f t="shared" si="44"/>
        <v>0</v>
      </c>
      <c r="AI100" s="309">
        <f t="shared" si="44"/>
        <v>0</v>
      </c>
      <c r="AJ100" s="309">
        <f t="shared" si="44"/>
        <v>0</v>
      </c>
      <c r="AK100" s="309">
        <f t="shared" si="44"/>
        <v>0</v>
      </c>
      <c r="AL100" s="309">
        <f t="shared" si="44"/>
        <v>0</v>
      </c>
      <c r="AM100" s="309">
        <f t="shared" si="44"/>
        <v>911158.34333333361</v>
      </c>
      <c r="AN100" s="309">
        <f t="shared" si="44"/>
        <v>0</v>
      </c>
      <c r="AO100" s="309">
        <f t="shared" si="44"/>
        <v>0</v>
      </c>
      <c r="AP100" s="309">
        <f t="shared" si="44"/>
        <v>0</v>
      </c>
      <c r="AQ100" s="309">
        <f t="shared" si="44"/>
        <v>0</v>
      </c>
      <c r="AR100" s="309">
        <f t="shared" si="44"/>
        <v>0</v>
      </c>
      <c r="AS100" s="309">
        <f t="shared" si="44"/>
        <v>0</v>
      </c>
      <c r="AT100" s="309">
        <f t="shared" si="44"/>
        <v>0</v>
      </c>
      <c r="AU100" s="309">
        <f t="shared" si="44"/>
        <v>0</v>
      </c>
      <c r="AV100" s="309">
        <f t="shared" si="44"/>
        <v>0</v>
      </c>
      <c r="AW100" s="309">
        <f t="shared" si="44"/>
        <v>0</v>
      </c>
      <c r="AX100" s="309">
        <f t="shared" si="44"/>
        <v>0</v>
      </c>
      <c r="AY100" s="309">
        <f t="shared" si="44"/>
        <v>0</v>
      </c>
      <c r="AZ100" s="309">
        <f t="shared" si="44"/>
        <v>0</v>
      </c>
      <c r="BA100" s="309">
        <f t="shared" si="44"/>
        <v>0</v>
      </c>
      <c r="BB100" s="309">
        <f t="shared" si="44"/>
        <v>0</v>
      </c>
      <c r="BC100" s="309">
        <f t="shared" si="44"/>
        <v>0</v>
      </c>
      <c r="BD100" s="309">
        <f t="shared" si="44"/>
        <v>0</v>
      </c>
      <c r="BE100" s="309">
        <f t="shared" si="44"/>
        <v>0</v>
      </c>
      <c r="BF100" s="309">
        <f t="shared" si="44"/>
        <v>0</v>
      </c>
      <c r="BG100" s="309">
        <f t="shared" si="44"/>
        <v>0</v>
      </c>
      <c r="BH100" s="309">
        <f t="shared" si="44"/>
        <v>0</v>
      </c>
      <c r="BI100" s="309">
        <f t="shared" si="44"/>
        <v>0</v>
      </c>
      <c r="BJ100" s="309">
        <f t="shared" si="44"/>
        <v>0</v>
      </c>
      <c r="BK100" s="309">
        <f t="shared" si="44"/>
        <v>0</v>
      </c>
      <c r="BL100" s="309">
        <f t="shared" si="44"/>
        <v>0</v>
      </c>
      <c r="BM100" s="309">
        <f t="shared" si="44"/>
        <v>0</v>
      </c>
      <c r="BN100" s="309">
        <f t="shared" si="44"/>
        <v>0</v>
      </c>
      <c r="BO100" s="309">
        <f t="shared" si="44"/>
        <v>0</v>
      </c>
      <c r="BP100" s="309">
        <f t="shared" si="44"/>
        <v>0</v>
      </c>
      <c r="BQ100" s="309">
        <f t="shared" si="44"/>
        <v>0</v>
      </c>
      <c r="BR100" s="309">
        <f t="shared" si="44"/>
        <v>0</v>
      </c>
      <c r="BS100" s="309">
        <f t="shared" si="44"/>
        <v>0</v>
      </c>
      <c r="BT100" s="309">
        <f t="shared" si="44"/>
        <v>0</v>
      </c>
      <c r="BU100" s="309">
        <f t="shared" si="44"/>
        <v>0</v>
      </c>
      <c r="BV100" s="309">
        <f t="shared" si="44"/>
        <v>0</v>
      </c>
      <c r="BW100" s="309">
        <f t="shared" si="44"/>
        <v>0</v>
      </c>
      <c r="BX100" s="309">
        <f t="shared" si="44"/>
        <v>0</v>
      </c>
    </row>
    <row r="101" spans="3:76">
      <c r="C101" s="308" t="s">
        <v>266</v>
      </c>
      <c r="D101" s="317"/>
      <c r="E101" s="309"/>
      <c r="F101" s="309"/>
      <c r="G101" s="309"/>
      <c r="H101" s="309"/>
      <c r="I101" s="309"/>
      <c r="J101" s="309"/>
      <c r="K101" s="309"/>
      <c r="L101" s="309"/>
      <c r="M101" s="309"/>
      <c r="N101" s="309"/>
      <c r="O101" s="309"/>
      <c r="P101" s="309"/>
      <c r="Q101" s="309"/>
      <c r="R101" s="309"/>
      <c r="S101" s="309"/>
      <c r="T101" s="309"/>
      <c r="U101" s="309"/>
      <c r="V101" s="309"/>
      <c r="W101" s="309"/>
      <c r="X101" s="309"/>
      <c r="Y101" s="309"/>
      <c r="Z101" s="309"/>
      <c r="AA101" s="309"/>
      <c r="AB101" s="309"/>
      <c r="AC101" s="309"/>
      <c r="AD101" s="309"/>
      <c r="AE101" s="309"/>
      <c r="AF101" s="309"/>
      <c r="AG101" s="309"/>
      <c r="AH101" s="309"/>
      <c r="AI101" s="309"/>
      <c r="AJ101" s="309"/>
      <c r="AK101" s="309"/>
      <c r="AL101" s="309"/>
      <c r="AM101" s="309">
        <f>AM85*$D$103</f>
        <v>4411675.4356235964</v>
      </c>
      <c r="AN101" s="309"/>
      <c r="AO101" s="309"/>
      <c r="AP101" s="309"/>
      <c r="AQ101" s="309"/>
      <c r="AR101" s="309"/>
      <c r="AS101" s="309"/>
      <c r="AT101" s="309"/>
      <c r="AU101" s="309"/>
      <c r="AV101" s="309"/>
      <c r="AW101" s="309"/>
      <c r="AX101" s="309"/>
      <c r="AY101" s="309"/>
      <c r="AZ101" s="309"/>
      <c r="BA101" s="309"/>
      <c r="BB101" s="309"/>
      <c r="BC101" s="309"/>
      <c r="BD101" s="309"/>
      <c r="BE101" s="309"/>
      <c r="BF101" s="309"/>
      <c r="BG101" s="309"/>
      <c r="BH101" s="309"/>
      <c r="BI101" s="309"/>
      <c r="BJ101" s="309"/>
      <c r="BK101" s="309"/>
      <c r="BL101" s="309"/>
      <c r="BM101" s="309"/>
      <c r="BN101" s="309"/>
      <c r="BO101" s="309"/>
      <c r="BP101" s="309"/>
      <c r="BQ101" s="309"/>
      <c r="BR101" s="309"/>
      <c r="BS101" s="309"/>
      <c r="BT101" s="309"/>
      <c r="BU101" s="309"/>
      <c r="BV101" s="309"/>
      <c r="BW101" s="309"/>
      <c r="BX101" s="309">
        <f>IF(D91&gt;0.25,(BX85-BX94)*D103,BX85*D103)</f>
        <v>3529340.3484988771</v>
      </c>
    </row>
    <row r="102" spans="3:76">
      <c r="C102" s="308" t="s">
        <v>262</v>
      </c>
      <c r="D102" s="317"/>
      <c r="E102" s="309"/>
      <c r="F102" s="309"/>
      <c r="G102" s="309"/>
      <c r="H102" s="309"/>
      <c r="I102" s="309"/>
      <c r="J102" s="309"/>
      <c r="K102" s="309"/>
      <c r="L102" s="309"/>
      <c r="M102" s="309"/>
      <c r="N102" s="309"/>
      <c r="O102" s="309"/>
      <c r="P102" s="309"/>
      <c r="Q102" s="309"/>
      <c r="R102" s="309"/>
      <c r="S102" s="309"/>
      <c r="T102" s="309"/>
      <c r="U102" s="309"/>
      <c r="V102" s="309"/>
      <c r="W102" s="309"/>
      <c r="X102" s="309"/>
      <c r="Y102" s="309"/>
      <c r="Z102" s="309"/>
      <c r="AA102" s="309"/>
      <c r="AB102" s="309"/>
      <c r="AC102" s="309"/>
      <c r="AD102" s="309"/>
      <c r="AE102" s="309"/>
      <c r="AF102" s="309"/>
      <c r="AG102" s="309"/>
      <c r="AH102" s="309"/>
      <c r="AI102" s="309"/>
      <c r="AJ102" s="309"/>
      <c r="AK102" s="309"/>
      <c r="AL102" s="309"/>
      <c r="AM102" s="309"/>
      <c r="AN102" s="309"/>
      <c r="AO102" s="309"/>
      <c r="AP102" s="309"/>
      <c r="AQ102" s="309"/>
      <c r="AR102" s="309"/>
      <c r="AS102" s="309"/>
      <c r="AT102" s="309"/>
      <c r="AU102" s="309"/>
      <c r="AV102" s="309"/>
      <c r="AW102" s="309"/>
      <c r="AX102" s="309"/>
      <c r="AY102" s="309"/>
      <c r="AZ102" s="309"/>
      <c r="BA102" s="309"/>
      <c r="BB102" s="309"/>
      <c r="BC102" s="309"/>
      <c r="BD102" s="309"/>
      <c r="BE102" s="309"/>
      <c r="BF102" s="309"/>
      <c r="BG102" s="309"/>
      <c r="BH102" s="309"/>
      <c r="BI102" s="309"/>
      <c r="BJ102" s="309"/>
      <c r="BK102" s="309"/>
      <c r="BL102" s="309"/>
      <c r="BM102" s="309"/>
      <c r="BN102" s="309"/>
      <c r="BO102" s="309"/>
      <c r="BP102" s="309"/>
      <c r="BQ102" s="309"/>
      <c r="BR102" s="309"/>
      <c r="BS102" s="309"/>
      <c r="BT102" s="309"/>
      <c r="BU102" s="309"/>
      <c r="BV102" s="309"/>
      <c r="BW102" s="309"/>
      <c r="BX102" s="309">
        <f>IF(D91&gt;0.25,BX94,0)</f>
        <v>4411675.4356235964</v>
      </c>
    </row>
    <row r="103" spans="3:76">
      <c r="C103" s="311" t="s">
        <v>267</v>
      </c>
      <c r="D103" s="317">
        <v>0.2</v>
      </c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  <c r="S103" s="250"/>
      <c r="T103" s="250"/>
      <c r="U103" s="250"/>
      <c r="V103" s="250"/>
      <c r="W103" s="250"/>
      <c r="X103" s="250"/>
      <c r="Y103" s="250"/>
      <c r="Z103" s="250"/>
      <c r="AA103" s="250"/>
      <c r="AB103" s="250"/>
      <c r="AC103" s="250"/>
      <c r="AD103" s="250"/>
      <c r="AE103" s="250"/>
      <c r="AF103" s="250"/>
      <c r="AG103" s="250"/>
      <c r="AH103" s="250"/>
      <c r="AI103" s="250"/>
      <c r="AJ103" s="250"/>
      <c r="AK103" s="250"/>
      <c r="AL103" s="250"/>
      <c r="AM103" s="250"/>
      <c r="AN103" s="250"/>
      <c r="AO103" s="250"/>
      <c r="AP103" s="250"/>
      <c r="AQ103" s="250"/>
      <c r="AR103" s="250"/>
      <c r="AS103" s="250"/>
      <c r="AT103" s="250"/>
      <c r="AU103" s="250"/>
      <c r="AV103" s="250"/>
      <c r="AW103" s="250"/>
      <c r="AX103" s="250"/>
      <c r="AY103" s="250"/>
      <c r="AZ103" s="250"/>
      <c r="BA103" s="250"/>
      <c r="BB103" s="250"/>
      <c r="BC103" s="318"/>
      <c r="BD103" s="250"/>
      <c r="BE103" s="250"/>
      <c r="BF103" s="250"/>
      <c r="BG103" s="250"/>
      <c r="BH103" s="250"/>
      <c r="BI103" s="250"/>
      <c r="BJ103" s="250"/>
      <c r="BK103" s="250"/>
      <c r="BL103" s="250"/>
      <c r="BM103" s="250"/>
      <c r="BN103" s="250"/>
      <c r="BO103" s="250"/>
      <c r="BP103" s="250"/>
      <c r="BQ103" s="250"/>
      <c r="BR103" s="250"/>
      <c r="BS103" s="250"/>
      <c r="BT103" s="250"/>
      <c r="BU103" s="250"/>
      <c r="BV103" s="250"/>
      <c r="BW103" s="250"/>
      <c r="BX103" s="250"/>
    </row>
    <row r="104" spans="3:76">
      <c r="C104" s="308" t="s">
        <v>268</v>
      </c>
      <c r="D104" s="312"/>
      <c r="E104" s="319">
        <f t="shared" ref="E104:BW104" si="45">E98+E99+E100+E101+E103</f>
        <v>0</v>
      </c>
      <c r="F104" s="319">
        <f t="shared" si="45"/>
        <v>0</v>
      </c>
      <c r="G104" s="319">
        <f t="shared" si="45"/>
        <v>0</v>
      </c>
      <c r="H104" s="319">
        <f t="shared" si="45"/>
        <v>0</v>
      </c>
      <c r="I104" s="319">
        <f t="shared" si="45"/>
        <v>-87324</v>
      </c>
      <c r="J104" s="319">
        <f t="shared" si="45"/>
        <v>-100000</v>
      </c>
      <c r="K104" s="319">
        <f t="shared" si="45"/>
        <v>3400000</v>
      </c>
      <c r="L104" s="319">
        <f t="shared" si="45"/>
        <v>-5024500</v>
      </c>
      <c r="M104" s="319">
        <f t="shared" si="45"/>
        <v>-1000</v>
      </c>
      <c r="N104" s="319">
        <f t="shared" si="45"/>
        <v>-80000</v>
      </c>
      <c r="O104" s="319">
        <f t="shared" si="45"/>
        <v>-31000</v>
      </c>
      <c r="P104" s="319">
        <f t="shared" si="45"/>
        <v>0</v>
      </c>
      <c r="Q104" s="319">
        <f t="shared" si="45"/>
        <v>2032137</v>
      </c>
      <c r="R104" s="319">
        <f t="shared" si="45"/>
        <v>0</v>
      </c>
      <c r="S104" s="319">
        <f t="shared" si="45"/>
        <v>0</v>
      </c>
      <c r="T104" s="319">
        <f t="shared" si="45"/>
        <v>0</v>
      </c>
      <c r="U104" s="319">
        <f t="shared" si="45"/>
        <v>-203000</v>
      </c>
      <c r="V104" s="319">
        <f t="shared" si="45"/>
        <v>-825000</v>
      </c>
      <c r="W104" s="319">
        <f t="shared" si="45"/>
        <v>-2950000</v>
      </c>
      <c r="X104" s="319">
        <f t="shared" si="45"/>
        <v>-1500000</v>
      </c>
      <c r="Y104" s="319">
        <f t="shared" si="45"/>
        <v>0</v>
      </c>
      <c r="Z104" s="319">
        <f t="shared" si="45"/>
        <v>0</v>
      </c>
      <c r="AA104" s="319">
        <f t="shared" si="45"/>
        <v>0</v>
      </c>
      <c r="AB104" s="319">
        <f t="shared" si="45"/>
        <v>0</v>
      </c>
      <c r="AC104" s="319">
        <f t="shared" si="45"/>
        <v>0</v>
      </c>
      <c r="AD104" s="319">
        <f t="shared" si="45"/>
        <v>0</v>
      </c>
      <c r="AE104" s="319">
        <f t="shared" si="45"/>
        <v>0</v>
      </c>
      <c r="AF104" s="319">
        <f t="shared" si="45"/>
        <v>0</v>
      </c>
      <c r="AG104" s="319">
        <f t="shared" si="45"/>
        <v>0</v>
      </c>
      <c r="AH104" s="319">
        <f t="shared" si="45"/>
        <v>0</v>
      </c>
      <c r="AI104" s="319">
        <f t="shared" si="45"/>
        <v>0</v>
      </c>
      <c r="AJ104" s="319">
        <f t="shared" si="45"/>
        <v>0</v>
      </c>
      <c r="AK104" s="319">
        <f t="shared" si="45"/>
        <v>0</v>
      </c>
      <c r="AL104" s="319">
        <f t="shared" si="45"/>
        <v>0</v>
      </c>
      <c r="AM104" s="319">
        <f t="shared" si="45"/>
        <v>10805833.778956931</v>
      </c>
      <c r="AN104" s="319">
        <f t="shared" si="45"/>
        <v>0</v>
      </c>
      <c r="AO104" s="319">
        <f t="shared" si="45"/>
        <v>0</v>
      </c>
      <c r="AP104" s="319">
        <f t="shared" si="45"/>
        <v>0</v>
      </c>
      <c r="AQ104" s="319">
        <f t="shared" si="45"/>
        <v>0</v>
      </c>
      <c r="AR104" s="319">
        <f t="shared" si="45"/>
        <v>0</v>
      </c>
      <c r="AS104" s="319">
        <f t="shared" si="45"/>
        <v>0</v>
      </c>
      <c r="AT104" s="319">
        <f t="shared" si="45"/>
        <v>0</v>
      </c>
      <c r="AU104" s="319">
        <f t="shared" si="45"/>
        <v>0</v>
      </c>
      <c r="AV104" s="319">
        <f t="shared" si="45"/>
        <v>0</v>
      </c>
      <c r="AW104" s="319">
        <f t="shared" si="45"/>
        <v>0</v>
      </c>
      <c r="AX104" s="319">
        <f t="shared" si="45"/>
        <v>0</v>
      </c>
      <c r="AY104" s="319">
        <f t="shared" si="45"/>
        <v>0</v>
      </c>
      <c r="AZ104" s="319">
        <f t="shared" si="45"/>
        <v>0</v>
      </c>
      <c r="BA104" s="319">
        <f t="shared" si="45"/>
        <v>0</v>
      </c>
      <c r="BB104" s="319">
        <f t="shared" si="45"/>
        <v>0</v>
      </c>
      <c r="BC104" s="319">
        <f t="shared" si="45"/>
        <v>0</v>
      </c>
      <c r="BD104" s="319">
        <f t="shared" si="45"/>
        <v>0</v>
      </c>
      <c r="BE104" s="319">
        <f t="shared" si="45"/>
        <v>0</v>
      </c>
      <c r="BF104" s="319">
        <f t="shared" si="45"/>
        <v>0</v>
      </c>
      <c r="BG104" s="319">
        <f t="shared" si="45"/>
        <v>0</v>
      </c>
      <c r="BH104" s="319">
        <f t="shared" si="45"/>
        <v>0</v>
      </c>
      <c r="BI104" s="319">
        <f t="shared" si="45"/>
        <v>0</v>
      </c>
      <c r="BJ104" s="319">
        <f t="shared" si="45"/>
        <v>0</v>
      </c>
      <c r="BK104" s="319">
        <f t="shared" si="45"/>
        <v>0</v>
      </c>
      <c r="BL104" s="319">
        <f t="shared" si="45"/>
        <v>0</v>
      </c>
      <c r="BM104" s="319">
        <f t="shared" si="45"/>
        <v>0</v>
      </c>
      <c r="BN104" s="319">
        <f t="shared" si="45"/>
        <v>0</v>
      </c>
      <c r="BO104" s="319">
        <f t="shared" si="45"/>
        <v>0</v>
      </c>
      <c r="BP104" s="319">
        <f t="shared" si="45"/>
        <v>0</v>
      </c>
      <c r="BQ104" s="319">
        <f t="shared" si="45"/>
        <v>0</v>
      </c>
      <c r="BR104" s="319">
        <f t="shared" si="45"/>
        <v>0</v>
      </c>
      <c r="BS104" s="319">
        <f t="shared" si="45"/>
        <v>0</v>
      </c>
      <c r="BT104" s="319">
        <f t="shared" si="45"/>
        <v>0</v>
      </c>
      <c r="BU104" s="319">
        <f t="shared" si="45"/>
        <v>0</v>
      </c>
      <c r="BV104" s="319">
        <f t="shared" si="45"/>
        <v>0</v>
      </c>
      <c r="BW104" s="319">
        <f t="shared" si="45"/>
        <v>0</v>
      </c>
      <c r="BX104" s="319">
        <f>BX98+BX99+BX100+BX101+BX102+BX103</f>
        <v>7941015.7841224736</v>
      </c>
    </row>
    <row r="105" spans="3:76">
      <c r="C105" s="308"/>
      <c r="D105" s="320"/>
      <c r="E105" s="321">
        <f>E104</f>
        <v>0</v>
      </c>
      <c r="F105" s="321">
        <f t="shared" ref="F105:BX105" si="46">E105+F104</f>
        <v>0</v>
      </c>
      <c r="G105" s="321">
        <f t="shared" si="46"/>
        <v>0</v>
      </c>
      <c r="H105" s="321">
        <f t="shared" si="46"/>
        <v>0</v>
      </c>
      <c r="I105" s="321">
        <f t="shared" si="46"/>
        <v>-87324</v>
      </c>
      <c r="J105" s="321">
        <f t="shared" si="46"/>
        <v>-187324</v>
      </c>
      <c r="K105" s="321">
        <f t="shared" si="46"/>
        <v>3212676</v>
      </c>
      <c r="L105" s="321">
        <f t="shared" si="46"/>
        <v>-1811824</v>
      </c>
      <c r="M105" s="321">
        <f t="shared" si="46"/>
        <v>-1812824</v>
      </c>
      <c r="N105" s="321">
        <f t="shared" si="46"/>
        <v>-1892824</v>
      </c>
      <c r="O105" s="321">
        <f t="shared" si="46"/>
        <v>-1923824</v>
      </c>
      <c r="P105" s="321">
        <f t="shared" si="46"/>
        <v>-1923824</v>
      </c>
      <c r="Q105" s="321">
        <f t="shared" si="46"/>
        <v>108313</v>
      </c>
      <c r="R105" s="321">
        <f t="shared" si="46"/>
        <v>108313</v>
      </c>
      <c r="S105" s="321">
        <f t="shared" si="46"/>
        <v>108313</v>
      </c>
      <c r="T105" s="321">
        <f t="shared" si="46"/>
        <v>108313</v>
      </c>
      <c r="U105" s="321">
        <f t="shared" si="46"/>
        <v>-94687</v>
      </c>
      <c r="V105" s="321">
        <f t="shared" si="46"/>
        <v>-919687</v>
      </c>
      <c r="W105" s="321">
        <f t="shared" si="46"/>
        <v>-3869687</v>
      </c>
      <c r="X105" s="321">
        <f t="shared" si="46"/>
        <v>-5369687</v>
      </c>
      <c r="Y105" s="321">
        <f t="shared" si="46"/>
        <v>-5369687</v>
      </c>
      <c r="Z105" s="321">
        <f t="shared" si="46"/>
        <v>-5369687</v>
      </c>
      <c r="AA105" s="321">
        <f t="shared" si="46"/>
        <v>-5369687</v>
      </c>
      <c r="AB105" s="321">
        <f t="shared" si="46"/>
        <v>-5369687</v>
      </c>
      <c r="AC105" s="321">
        <f t="shared" si="46"/>
        <v>-5369687</v>
      </c>
      <c r="AD105" s="321">
        <f t="shared" si="46"/>
        <v>-5369687</v>
      </c>
      <c r="AE105" s="321">
        <f t="shared" si="46"/>
        <v>-5369687</v>
      </c>
      <c r="AF105" s="321">
        <f t="shared" si="46"/>
        <v>-5369687</v>
      </c>
      <c r="AG105" s="321">
        <f t="shared" si="46"/>
        <v>-5369687</v>
      </c>
      <c r="AH105" s="321">
        <f t="shared" si="46"/>
        <v>-5369687</v>
      </c>
      <c r="AI105" s="321">
        <f t="shared" si="46"/>
        <v>-5369687</v>
      </c>
      <c r="AJ105" s="321">
        <f t="shared" si="46"/>
        <v>-5369687</v>
      </c>
      <c r="AK105" s="321">
        <f t="shared" si="46"/>
        <v>-5369687</v>
      </c>
      <c r="AL105" s="321">
        <f t="shared" si="46"/>
        <v>-5369687</v>
      </c>
      <c r="AM105" s="321">
        <f t="shared" si="46"/>
        <v>5436146.7789569311</v>
      </c>
      <c r="AN105" s="321">
        <f t="shared" si="46"/>
        <v>5436146.7789569311</v>
      </c>
      <c r="AO105" s="321">
        <f t="shared" si="46"/>
        <v>5436146.7789569311</v>
      </c>
      <c r="AP105" s="321">
        <f t="shared" si="46"/>
        <v>5436146.7789569311</v>
      </c>
      <c r="AQ105" s="321">
        <f t="shared" si="46"/>
        <v>5436146.7789569311</v>
      </c>
      <c r="AR105" s="321">
        <f t="shared" si="46"/>
        <v>5436146.7789569311</v>
      </c>
      <c r="AS105" s="321">
        <f t="shared" si="46"/>
        <v>5436146.7789569311</v>
      </c>
      <c r="AT105" s="321">
        <f t="shared" si="46"/>
        <v>5436146.7789569311</v>
      </c>
      <c r="AU105" s="321">
        <f t="shared" si="46"/>
        <v>5436146.7789569311</v>
      </c>
      <c r="AV105" s="321">
        <f t="shared" si="46"/>
        <v>5436146.7789569311</v>
      </c>
      <c r="AW105" s="321">
        <f t="shared" si="46"/>
        <v>5436146.7789569311</v>
      </c>
      <c r="AX105" s="321">
        <f t="shared" si="46"/>
        <v>5436146.7789569311</v>
      </c>
      <c r="AY105" s="321">
        <f t="shared" si="46"/>
        <v>5436146.7789569311</v>
      </c>
      <c r="AZ105" s="321">
        <f t="shared" si="46"/>
        <v>5436146.7789569311</v>
      </c>
      <c r="BA105" s="321">
        <f t="shared" si="46"/>
        <v>5436146.7789569311</v>
      </c>
      <c r="BB105" s="321">
        <f t="shared" si="46"/>
        <v>5436146.7789569311</v>
      </c>
      <c r="BC105" s="321">
        <f t="shared" si="46"/>
        <v>5436146.7789569311</v>
      </c>
      <c r="BD105" s="321">
        <f t="shared" si="46"/>
        <v>5436146.7789569311</v>
      </c>
      <c r="BE105" s="321">
        <f t="shared" si="46"/>
        <v>5436146.7789569311</v>
      </c>
      <c r="BF105" s="321">
        <f t="shared" si="46"/>
        <v>5436146.7789569311</v>
      </c>
      <c r="BG105" s="321">
        <f t="shared" si="46"/>
        <v>5436146.7789569311</v>
      </c>
      <c r="BH105" s="321">
        <f t="shared" si="46"/>
        <v>5436146.7789569311</v>
      </c>
      <c r="BI105" s="321">
        <f t="shared" si="46"/>
        <v>5436146.7789569311</v>
      </c>
      <c r="BJ105" s="321">
        <f t="shared" si="46"/>
        <v>5436146.7789569311</v>
      </c>
      <c r="BK105" s="321">
        <f t="shared" si="46"/>
        <v>5436146.7789569311</v>
      </c>
      <c r="BL105" s="321">
        <f t="shared" si="46"/>
        <v>5436146.7789569311</v>
      </c>
      <c r="BM105" s="321">
        <f t="shared" si="46"/>
        <v>5436146.7789569311</v>
      </c>
      <c r="BN105" s="321">
        <f t="shared" si="46"/>
        <v>5436146.7789569311</v>
      </c>
      <c r="BO105" s="321">
        <f t="shared" si="46"/>
        <v>5436146.7789569311</v>
      </c>
      <c r="BP105" s="321">
        <f t="shared" si="46"/>
        <v>5436146.7789569311</v>
      </c>
      <c r="BQ105" s="321">
        <f t="shared" si="46"/>
        <v>5436146.7789569311</v>
      </c>
      <c r="BR105" s="321">
        <f t="shared" si="46"/>
        <v>5436146.7789569311</v>
      </c>
      <c r="BS105" s="321">
        <f t="shared" si="46"/>
        <v>5436146.7789569311</v>
      </c>
      <c r="BT105" s="321">
        <f t="shared" si="46"/>
        <v>5436146.7789569311</v>
      </c>
      <c r="BU105" s="321">
        <f t="shared" si="46"/>
        <v>5436146.7789569311</v>
      </c>
      <c r="BV105" s="321">
        <f t="shared" si="46"/>
        <v>5436146.7789569311</v>
      </c>
      <c r="BW105" s="321">
        <f t="shared" si="46"/>
        <v>5436146.7789569311</v>
      </c>
      <c r="BX105" s="321">
        <f t="shared" si="46"/>
        <v>13377162.563079406</v>
      </c>
    </row>
    <row r="106" spans="3:76">
      <c r="C106" s="311" t="s">
        <v>261</v>
      </c>
      <c r="D106" s="322">
        <f>IRR(I104:AM104)*12</f>
        <v>0.49276979100886376</v>
      </c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  <c r="U106" s="229"/>
      <c r="V106" s="229"/>
      <c r="W106" s="229"/>
      <c r="X106" s="229"/>
      <c r="Y106" s="229"/>
      <c r="Z106" s="229"/>
      <c r="AA106" s="229"/>
      <c r="AB106" s="229"/>
      <c r="AC106" s="229"/>
      <c r="AD106" s="229"/>
      <c r="AE106" s="229"/>
      <c r="AF106" s="229"/>
      <c r="AG106" s="229"/>
      <c r="AH106" s="229"/>
      <c r="AI106" s="229"/>
      <c r="AJ106" s="229"/>
      <c r="AK106" s="229"/>
      <c r="AL106" s="229"/>
      <c r="AM106" s="229"/>
      <c r="AN106" s="229"/>
      <c r="AO106" s="229"/>
      <c r="AP106" s="229"/>
      <c r="AQ106" s="229"/>
      <c r="AR106" s="229"/>
      <c r="AS106" s="229"/>
      <c r="AT106" s="229"/>
      <c r="AU106" s="229"/>
      <c r="AV106" s="229"/>
      <c r="AW106" s="229"/>
      <c r="AX106" s="229"/>
      <c r="AY106" s="229"/>
      <c r="AZ106" s="229"/>
      <c r="BA106" s="229"/>
      <c r="BB106" s="229"/>
      <c r="BC106" s="229"/>
      <c r="BD106" s="229"/>
      <c r="BE106" s="229"/>
      <c r="BF106" s="229"/>
      <c r="BG106" s="229"/>
      <c r="BH106" s="229"/>
      <c r="BI106" s="229"/>
      <c r="BJ106" s="229"/>
      <c r="BK106" s="229"/>
      <c r="BL106" s="229"/>
      <c r="BM106" s="229"/>
      <c r="BN106" s="229"/>
      <c r="BO106" s="229"/>
      <c r="BP106" s="229"/>
      <c r="BQ106" s="229"/>
      <c r="BR106" s="229"/>
      <c r="BS106" s="229"/>
      <c r="BT106" s="229"/>
      <c r="BU106" s="229"/>
      <c r="BV106" s="229"/>
      <c r="BW106" s="229"/>
      <c r="BX106" s="229"/>
    </row>
    <row r="107" spans="3:76">
      <c r="C107" s="323" t="s">
        <v>269</v>
      </c>
      <c r="D107" s="324">
        <f>-MIN(E105:BL105)</f>
        <v>5369687</v>
      </c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  <c r="U107" s="229"/>
      <c r="V107" s="229"/>
      <c r="W107" s="229"/>
      <c r="X107" s="229"/>
      <c r="Y107" s="229"/>
      <c r="Z107" s="229"/>
      <c r="AA107" s="229"/>
      <c r="AB107" s="229"/>
      <c r="AC107" s="229"/>
      <c r="AD107" s="229"/>
      <c r="AE107" s="229"/>
      <c r="AF107" s="229"/>
      <c r="AG107" s="229"/>
      <c r="AH107" s="229"/>
      <c r="AI107" s="229"/>
      <c r="AJ107" s="229"/>
      <c r="AK107" s="229"/>
      <c r="AL107" s="229"/>
      <c r="AM107" s="229"/>
      <c r="AN107" s="229"/>
      <c r="AO107" s="229"/>
      <c r="AP107" s="229"/>
      <c r="AQ107" s="229"/>
      <c r="AR107" s="229"/>
      <c r="AS107" s="229"/>
      <c r="AT107" s="229"/>
      <c r="AU107" s="229"/>
      <c r="AV107" s="229"/>
      <c r="AW107" s="229"/>
      <c r="AX107" s="229"/>
      <c r="AY107" s="229"/>
      <c r="AZ107" s="229"/>
      <c r="BA107" s="229"/>
      <c r="BB107" s="229"/>
      <c r="BC107" s="229"/>
      <c r="BD107" s="229"/>
      <c r="BE107" s="229"/>
      <c r="BF107" s="229"/>
      <c r="BG107" s="229"/>
      <c r="BH107" s="229"/>
      <c r="BI107" s="229"/>
      <c r="BJ107" s="229"/>
      <c r="BK107" s="229"/>
      <c r="BL107" s="229"/>
      <c r="BM107" s="229"/>
      <c r="BN107" s="229"/>
      <c r="BO107" s="229"/>
      <c r="BP107" s="229"/>
      <c r="BQ107" s="229"/>
      <c r="BR107" s="229"/>
      <c r="BS107" s="229"/>
      <c r="BT107" s="229"/>
      <c r="BU107" s="229"/>
      <c r="BV107" s="229"/>
      <c r="BW107" s="229"/>
      <c r="BX107" s="229"/>
    </row>
    <row r="108" spans="3:76">
      <c r="C108" s="311" t="s">
        <v>270</v>
      </c>
      <c r="D108" s="325">
        <f>D107</f>
        <v>5369687</v>
      </c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  <c r="U108" s="229"/>
      <c r="V108" s="229"/>
      <c r="W108" s="229"/>
      <c r="X108" s="229"/>
      <c r="Y108" s="229"/>
      <c r="Z108" s="229"/>
      <c r="AA108" s="229"/>
      <c r="AB108" s="229"/>
      <c r="AC108" s="229"/>
      <c r="AD108" s="229"/>
      <c r="AE108" s="229"/>
      <c r="AF108" s="229"/>
      <c r="AG108" s="229"/>
      <c r="AH108" s="229"/>
      <c r="AI108" s="229"/>
      <c r="AJ108" s="229"/>
      <c r="AK108" s="229"/>
      <c r="AL108" s="229"/>
      <c r="AM108" s="229"/>
      <c r="AN108" s="229"/>
      <c r="AO108" s="229"/>
      <c r="AP108" s="229"/>
      <c r="AQ108" s="229"/>
      <c r="AR108" s="229"/>
      <c r="AS108" s="229"/>
      <c r="AT108" s="229"/>
      <c r="AU108" s="229"/>
      <c r="AV108" s="229"/>
      <c r="AW108" s="229"/>
      <c r="AX108" s="229"/>
      <c r="AY108" s="229"/>
      <c r="AZ108" s="229"/>
      <c r="BA108" s="229"/>
      <c r="BB108" s="229"/>
      <c r="BC108" s="229"/>
      <c r="BD108" s="229"/>
      <c r="BE108" s="229"/>
      <c r="BF108" s="229"/>
      <c r="BG108" s="229"/>
      <c r="BH108" s="229"/>
      <c r="BI108" s="229"/>
      <c r="BJ108" s="229"/>
      <c r="BK108" s="229"/>
      <c r="BL108" s="229"/>
      <c r="BM108" s="229"/>
      <c r="BN108" s="229"/>
      <c r="BO108" s="229"/>
      <c r="BP108" s="229"/>
      <c r="BQ108" s="229"/>
      <c r="BR108" s="229"/>
      <c r="BS108" s="229"/>
      <c r="BT108" s="229"/>
      <c r="BU108" s="229"/>
      <c r="BV108" s="229"/>
      <c r="BW108" s="229"/>
      <c r="BX108" s="229"/>
    </row>
    <row r="109" spans="3:76">
      <c r="C109" s="311" t="s">
        <v>271</v>
      </c>
      <c r="D109" s="325">
        <f>AM100+AM101</f>
        <v>5322833.7789569302</v>
      </c>
      <c r="E109" s="229"/>
      <c r="F109" s="229"/>
      <c r="G109" s="229"/>
      <c r="H109" s="229"/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  <c r="U109" s="229"/>
      <c r="V109" s="229"/>
      <c r="W109" s="229"/>
      <c r="X109" s="229"/>
      <c r="Y109" s="229"/>
      <c r="Z109" s="229"/>
      <c r="AA109" s="229"/>
      <c r="AB109" s="229"/>
      <c r="AC109" s="229"/>
      <c r="AD109" s="229"/>
      <c r="AE109" s="229"/>
      <c r="AF109" s="229"/>
      <c r="AG109" s="229"/>
      <c r="AH109" s="229"/>
      <c r="AI109" s="229"/>
      <c r="AJ109" s="229"/>
      <c r="AK109" s="229"/>
      <c r="AL109" s="229"/>
      <c r="AM109" s="229"/>
      <c r="AN109" s="229"/>
      <c r="AO109" s="229"/>
      <c r="AP109" s="229"/>
      <c r="AQ109" s="229"/>
      <c r="AR109" s="229"/>
      <c r="AS109" s="229"/>
      <c r="AT109" s="229"/>
      <c r="AU109" s="229"/>
      <c r="AV109" s="229"/>
      <c r="AW109" s="229"/>
      <c r="AX109" s="229"/>
      <c r="AY109" s="229"/>
      <c r="AZ109" s="229"/>
      <c r="BA109" s="229"/>
      <c r="BB109" s="229"/>
      <c r="BC109" s="229"/>
      <c r="BD109" s="229"/>
      <c r="BE109" s="229"/>
      <c r="BF109" s="229"/>
      <c r="BG109" s="229"/>
      <c r="BH109" s="229"/>
      <c r="BI109" s="229"/>
      <c r="BJ109" s="229"/>
      <c r="BK109" s="229"/>
      <c r="BL109" s="229"/>
      <c r="BM109" s="229"/>
      <c r="BN109" s="229"/>
      <c r="BO109" s="229"/>
      <c r="BP109" s="229"/>
      <c r="BQ109" s="229"/>
      <c r="BR109" s="229"/>
      <c r="BS109" s="229"/>
      <c r="BT109" s="229"/>
      <c r="BU109" s="229"/>
      <c r="BV109" s="229"/>
      <c r="BW109" s="229"/>
      <c r="BX109" s="229"/>
    </row>
    <row r="110" spans="3:76">
      <c r="C110" s="311" t="s">
        <v>272</v>
      </c>
      <c r="D110" s="322">
        <f>D109/D108</f>
        <v>0.9912744968108812</v>
      </c>
      <c r="E110" s="229"/>
      <c r="F110" s="229"/>
      <c r="G110" s="229"/>
      <c r="H110" s="229"/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  <c r="U110" s="229"/>
      <c r="V110" s="229"/>
      <c r="W110" s="229"/>
      <c r="X110" s="229"/>
      <c r="Y110" s="229"/>
      <c r="Z110" s="229"/>
      <c r="AA110" s="229"/>
      <c r="AB110" s="229"/>
      <c r="AC110" s="229"/>
      <c r="AD110" s="229"/>
      <c r="AE110" s="229"/>
      <c r="AF110" s="229"/>
      <c r="AG110" s="229"/>
      <c r="AH110" s="229"/>
      <c r="AI110" s="229"/>
      <c r="AJ110" s="229"/>
      <c r="AK110" s="229"/>
      <c r="AL110" s="229"/>
      <c r="AM110" s="229"/>
      <c r="AN110" s="229"/>
      <c r="AO110" s="229"/>
      <c r="AP110" s="229"/>
      <c r="AQ110" s="229"/>
      <c r="AR110" s="229"/>
      <c r="AS110" s="229"/>
      <c r="AT110" s="229"/>
      <c r="AU110" s="229"/>
      <c r="AV110" s="229"/>
      <c r="AW110" s="229"/>
      <c r="AX110" s="229"/>
      <c r="AY110" s="229"/>
      <c r="AZ110" s="229"/>
      <c r="BA110" s="229"/>
      <c r="BB110" s="229"/>
      <c r="BC110" s="229"/>
      <c r="BD110" s="229"/>
      <c r="BE110" s="229"/>
      <c r="BF110" s="229"/>
      <c r="BG110" s="229"/>
      <c r="BH110" s="229"/>
      <c r="BI110" s="229"/>
      <c r="BJ110" s="229"/>
      <c r="BK110" s="229"/>
      <c r="BL110" s="229"/>
      <c r="BM110" s="229"/>
      <c r="BN110" s="229"/>
      <c r="BO110" s="229"/>
      <c r="BP110" s="229"/>
      <c r="BQ110" s="229"/>
      <c r="BR110" s="229"/>
      <c r="BS110" s="229"/>
      <c r="BT110" s="229"/>
      <c r="BU110" s="229"/>
      <c r="BV110" s="229"/>
      <c r="BW110" s="229"/>
      <c r="BX110" s="229"/>
    </row>
    <row r="114" spans="3:76">
      <c r="C114" s="308" t="s">
        <v>273</v>
      </c>
      <c r="D114" s="309"/>
      <c r="E114" s="309">
        <f t="shared" ref="E114:BX114" si="47">-(E6+E76)</f>
        <v>0</v>
      </c>
      <c r="F114" s="309">
        <f t="shared" si="47"/>
        <v>0</v>
      </c>
      <c r="G114" s="309">
        <f t="shared" si="47"/>
        <v>0</v>
      </c>
      <c r="H114" s="309">
        <f t="shared" si="47"/>
        <v>0</v>
      </c>
      <c r="I114" s="309">
        <f t="shared" si="47"/>
        <v>0</v>
      </c>
      <c r="J114" s="309">
        <f t="shared" si="47"/>
        <v>0</v>
      </c>
      <c r="K114" s="309">
        <f t="shared" si="47"/>
        <v>0</v>
      </c>
      <c r="L114" s="309">
        <f t="shared" si="47"/>
        <v>0</v>
      </c>
      <c r="M114" s="309">
        <f t="shared" si="47"/>
        <v>0</v>
      </c>
      <c r="N114" s="309">
        <f t="shared" si="47"/>
        <v>0</v>
      </c>
      <c r="O114" s="309">
        <f t="shared" si="47"/>
        <v>0</v>
      </c>
      <c r="P114" s="309">
        <f t="shared" si="47"/>
        <v>-3994008</v>
      </c>
      <c r="Q114" s="309">
        <f t="shared" si="47"/>
        <v>0</v>
      </c>
      <c r="R114" s="309">
        <f t="shared" si="47"/>
        <v>0</v>
      </c>
      <c r="S114" s="309">
        <f t="shared" si="47"/>
        <v>0</v>
      </c>
      <c r="T114" s="309">
        <f t="shared" si="47"/>
        <v>-500000</v>
      </c>
      <c r="U114" s="309">
        <f t="shared" si="47"/>
        <v>0</v>
      </c>
      <c r="V114" s="309">
        <f t="shared" si="47"/>
        <v>0</v>
      </c>
      <c r="W114" s="309">
        <f t="shared" si="47"/>
        <v>-19000000</v>
      </c>
      <c r="X114" s="309">
        <f t="shared" si="47"/>
        <v>0</v>
      </c>
      <c r="Y114" s="309">
        <f t="shared" si="47"/>
        <v>0</v>
      </c>
      <c r="Z114" s="309">
        <f t="shared" si="47"/>
        <v>0</v>
      </c>
      <c r="AA114" s="309">
        <f t="shared" si="47"/>
        <v>0</v>
      </c>
      <c r="AB114" s="309">
        <f t="shared" si="47"/>
        <v>0</v>
      </c>
      <c r="AC114" s="309">
        <f t="shared" si="47"/>
        <v>1632000</v>
      </c>
      <c r="AD114" s="309">
        <f t="shared" si="47"/>
        <v>0</v>
      </c>
      <c r="AE114" s="309">
        <f t="shared" si="47"/>
        <v>0</v>
      </c>
      <c r="AF114" s="309">
        <f t="shared" si="47"/>
        <v>0</v>
      </c>
      <c r="AG114" s="309">
        <f t="shared" si="47"/>
        <v>0</v>
      </c>
      <c r="AH114" s="309">
        <f t="shared" si="47"/>
        <v>0</v>
      </c>
      <c r="AI114" s="309">
        <f t="shared" si="47"/>
        <v>0</v>
      </c>
      <c r="AJ114" s="309">
        <f t="shared" si="47"/>
        <v>0</v>
      </c>
      <c r="AK114" s="309">
        <f t="shared" si="47"/>
        <v>0</v>
      </c>
      <c r="AL114" s="309">
        <f t="shared" si="47"/>
        <v>0</v>
      </c>
      <c r="AM114" s="309">
        <f t="shared" si="47"/>
        <v>21862008</v>
      </c>
      <c r="AN114" s="309">
        <f t="shared" si="47"/>
        <v>0</v>
      </c>
      <c r="AO114" s="309">
        <f t="shared" si="47"/>
        <v>0</v>
      </c>
      <c r="AP114" s="309">
        <f t="shared" si="47"/>
        <v>0</v>
      </c>
      <c r="AQ114" s="309">
        <f t="shared" si="47"/>
        <v>0</v>
      </c>
      <c r="AR114" s="309">
        <f t="shared" si="47"/>
        <v>0</v>
      </c>
      <c r="AS114" s="309">
        <f t="shared" si="47"/>
        <v>0</v>
      </c>
      <c r="AT114" s="309">
        <f t="shared" si="47"/>
        <v>0</v>
      </c>
      <c r="AU114" s="309">
        <f t="shared" si="47"/>
        <v>0</v>
      </c>
      <c r="AV114" s="309">
        <f t="shared" si="47"/>
        <v>0</v>
      </c>
      <c r="AW114" s="309">
        <f t="shared" si="47"/>
        <v>0</v>
      </c>
      <c r="AX114" s="309">
        <f t="shared" si="47"/>
        <v>0</v>
      </c>
      <c r="AY114" s="309">
        <f t="shared" si="47"/>
        <v>0</v>
      </c>
      <c r="AZ114" s="309">
        <f t="shared" si="47"/>
        <v>0</v>
      </c>
      <c r="BA114" s="309">
        <f t="shared" si="47"/>
        <v>0</v>
      </c>
      <c r="BB114" s="309">
        <f t="shared" si="47"/>
        <v>0</v>
      </c>
      <c r="BC114" s="309">
        <f t="shared" si="47"/>
        <v>0</v>
      </c>
      <c r="BD114" s="309">
        <f t="shared" si="47"/>
        <v>0</v>
      </c>
      <c r="BE114" s="309">
        <f t="shared" si="47"/>
        <v>0</v>
      </c>
      <c r="BF114" s="309">
        <f t="shared" si="47"/>
        <v>0</v>
      </c>
      <c r="BG114" s="309">
        <f t="shared" si="47"/>
        <v>0</v>
      </c>
      <c r="BH114" s="309">
        <f t="shared" si="47"/>
        <v>0</v>
      </c>
      <c r="BI114" s="309">
        <f t="shared" si="47"/>
        <v>0</v>
      </c>
      <c r="BJ114" s="309">
        <f t="shared" si="47"/>
        <v>0</v>
      </c>
      <c r="BK114" s="309">
        <f t="shared" si="47"/>
        <v>0</v>
      </c>
      <c r="BL114" s="309">
        <f t="shared" si="47"/>
        <v>0</v>
      </c>
      <c r="BM114" s="309">
        <f t="shared" si="47"/>
        <v>0</v>
      </c>
      <c r="BN114" s="309">
        <f t="shared" si="47"/>
        <v>0</v>
      </c>
      <c r="BO114" s="309">
        <f t="shared" si="47"/>
        <v>0</v>
      </c>
      <c r="BP114" s="309">
        <f t="shared" si="47"/>
        <v>0</v>
      </c>
      <c r="BQ114" s="309">
        <f t="shared" si="47"/>
        <v>0</v>
      </c>
      <c r="BR114" s="309">
        <f t="shared" si="47"/>
        <v>0</v>
      </c>
      <c r="BS114" s="309">
        <f t="shared" si="47"/>
        <v>0</v>
      </c>
      <c r="BT114" s="309">
        <f t="shared" si="47"/>
        <v>0</v>
      </c>
      <c r="BU114" s="309">
        <f t="shared" si="47"/>
        <v>0</v>
      </c>
      <c r="BV114" s="309">
        <f t="shared" si="47"/>
        <v>0</v>
      </c>
      <c r="BW114" s="309">
        <f t="shared" si="47"/>
        <v>0</v>
      </c>
      <c r="BX114" s="309">
        <f t="shared" si="47"/>
        <v>0</v>
      </c>
    </row>
    <row r="115" spans="3:76" outlineLevel="1">
      <c r="C115" s="308" t="s">
        <v>274</v>
      </c>
      <c r="D115" s="317"/>
      <c r="E115" s="309"/>
      <c r="F115" s="309"/>
      <c r="G115" s="309"/>
      <c r="H115" s="309"/>
      <c r="I115" s="309"/>
      <c r="J115" s="309"/>
      <c r="K115" s="309"/>
      <c r="L115" s="309"/>
      <c r="M115" s="309"/>
      <c r="N115" s="309"/>
      <c r="O115" s="309"/>
      <c r="P115" s="309"/>
      <c r="Q115" s="309"/>
      <c r="R115" s="309"/>
      <c r="S115" s="309"/>
      <c r="T115" s="309"/>
      <c r="U115" s="309"/>
      <c r="V115" s="309"/>
      <c r="W115" s="309"/>
      <c r="X115" s="309"/>
      <c r="Y115" s="309"/>
      <c r="Z115" s="309"/>
      <c r="AA115" s="309"/>
      <c r="AB115" s="309"/>
      <c r="AC115" s="309"/>
      <c r="AD115" s="309"/>
      <c r="AE115" s="309"/>
      <c r="AF115" s="309"/>
      <c r="AG115" s="309"/>
      <c r="AH115" s="309"/>
      <c r="AI115" s="309"/>
      <c r="AJ115" s="309"/>
      <c r="AK115" s="309"/>
      <c r="AL115" s="309"/>
      <c r="AM115" s="309"/>
      <c r="AN115" s="309"/>
      <c r="AO115" s="309"/>
      <c r="AP115" s="309"/>
      <c r="AQ115" s="309"/>
      <c r="AR115" s="309"/>
      <c r="AS115" s="309"/>
      <c r="AT115" s="309"/>
      <c r="AU115" s="309"/>
      <c r="AV115" s="309"/>
      <c r="AW115" s="309"/>
      <c r="AX115" s="309"/>
      <c r="AY115" s="309"/>
      <c r="AZ115" s="309"/>
      <c r="BA115" s="309"/>
      <c r="BB115" s="309"/>
      <c r="BC115" s="309"/>
      <c r="BD115" s="309"/>
      <c r="BE115" s="309"/>
      <c r="BF115" s="309"/>
      <c r="BG115" s="309"/>
      <c r="BH115" s="309"/>
      <c r="BI115" s="309"/>
      <c r="BJ115" s="309"/>
      <c r="BK115" s="309"/>
      <c r="BL115" s="309"/>
      <c r="BM115" s="309"/>
      <c r="BN115" s="309"/>
      <c r="BO115" s="309"/>
      <c r="BP115" s="309"/>
      <c r="BQ115" s="309"/>
      <c r="BR115" s="309"/>
      <c r="BS115" s="309"/>
      <c r="BT115" s="309"/>
      <c r="BU115" s="309"/>
      <c r="BV115" s="309"/>
      <c r="BW115" s="309"/>
      <c r="BX115" s="309"/>
    </row>
    <row r="116" spans="3:76" outlineLevel="1">
      <c r="C116" s="308" t="s">
        <v>265</v>
      </c>
      <c r="D116" s="317"/>
      <c r="E116" s="309">
        <f t="shared" ref="E116:BX116" si="48">-E57</f>
        <v>0</v>
      </c>
      <c r="F116" s="309">
        <f t="shared" si="48"/>
        <v>0</v>
      </c>
      <c r="G116" s="309">
        <f t="shared" si="48"/>
        <v>0</v>
      </c>
      <c r="H116" s="309">
        <f t="shared" si="48"/>
        <v>0</v>
      </c>
      <c r="I116" s="309">
        <f t="shared" si="48"/>
        <v>0</v>
      </c>
      <c r="J116" s="309">
        <f t="shared" si="48"/>
        <v>0</v>
      </c>
      <c r="K116" s="309">
        <f t="shared" si="48"/>
        <v>0</v>
      </c>
      <c r="L116" s="309">
        <f t="shared" si="48"/>
        <v>0</v>
      </c>
      <c r="M116" s="309">
        <f t="shared" si="48"/>
        <v>0</v>
      </c>
      <c r="N116" s="309">
        <f t="shared" si="48"/>
        <v>0</v>
      </c>
      <c r="O116" s="309">
        <f t="shared" si="48"/>
        <v>0</v>
      </c>
      <c r="P116" s="309">
        <f t="shared" si="48"/>
        <v>0</v>
      </c>
      <c r="Q116" s="309">
        <f t="shared" si="48"/>
        <v>0</v>
      </c>
      <c r="R116" s="309">
        <f t="shared" si="48"/>
        <v>0</v>
      </c>
      <c r="S116" s="309">
        <f t="shared" si="48"/>
        <v>0</v>
      </c>
      <c r="T116" s="309">
        <f t="shared" si="48"/>
        <v>0</v>
      </c>
      <c r="U116" s="309">
        <f t="shared" si="48"/>
        <v>0</v>
      </c>
      <c r="V116" s="309">
        <f t="shared" si="48"/>
        <v>0</v>
      </c>
      <c r="W116" s="309">
        <f t="shared" si="48"/>
        <v>0</v>
      </c>
      <c r="X116" s="309">
        <f t="shared" si="48"/>
        <v>0</v>
      </c>
      <c r="Y116" s="309">
        <f t="shared" si="48"/>
        <v>0</v>
      </c>
      <c r="Z116" s="309">
        <f t="shared" si="48"/>
        <v>0</v>
      </c>
      <c r="AA116" s="309">
        <f t="shared" si="48"/>
        <v>0</v>
      </c>
      <c r="AB116" s="309">
        <f t="shared" si="48"/>
        <v>0</v>
      </c>
      <c r="AC116" s="309">
        <f t="shared" si="48"/>
        <v>0</v>
      </c>
      <c r="AD116" s="309">
        <f t="shared" si="48"/>
        <v>0</v>
      </c>
      <c r="AE116" s="309">
        <f t="shared" si="48"/>
        <v>0</v>
      </c>
      <c r="AF116" s="309">
        <f t="shared" si="48"/>
        <v>0</v>
      </c>
      <c r="AG116" s="309">
        <f t="shared" si="48"/>
        <v>0</v>
      </c>
      <c r="AH116" s="309">
        <f t="shared" si="48"/>
        <v>0</v>
      </c>
      <c r="AI116" s="309">
        <f t="shared" si="48"/>
        <v>0</v>
      </c>
      <c r="AJ116" s="309">
        <f t="shared" si="48"/>
        <v>0</v>
      </c>
      <c r="AK116" s="309">
        <f t="shared" si="48"/>
        <v>0</v>
      </c>
      <c r="AL116" s="309">
        <f t="shared" si="48"/>
        <v>0</v>
      </c>
      <c r="AM116" s="309">
        <f t="shared" si="48"/>
        <v>3766621.7600000016</v>
      </c>
      <c r="AN116" s="309">
        <f t="shared" si="48"/>
        <v>0</v>
      </c>
      <c r="AO116" s="309">
        <f t="shared" si="48"/>
        <v>0</v>
      </c>
      <c r="AP116" s="309">
        <f t="shared" si="48"/>
        <v>0</v>
      </c>
      <c r="AQ116" s="309">
        <f t="shared" si="48"/>
        <v>0</v>
      </c>
      <c r="AR116" s="309">
        <f t="shared" si="48"/>
        <v>0</v>
      </c>
      <c r="AS116" s="309">
        <f t="shared" si="48"/>
        <v>0</v>
      </c>
      <c r="AT116" s="309">
        <f t="shared" si="48"/>
        <v>0</v>
      </c>
      <c r="AU116" s="309">
        <f t="shared" si="48"/>
        <v>0</v>
      </c>
      <c r="AV116" s="309">
        <f t="shared" si="48"/>
        <v>0</v>
      </c>
      <c r="AW116" s="309">
        <f t="shared" si="48"/>
        <v>0</v>
      </c>
      <c r="AX116" s="309">
        <f t="shared" si="48"/>
        <v>0</v>
      </c>
      <c r="AY116" s="309">
        <f t="shared" si="48"/>
        <v>0</v>
      </c>
      <c r="AZ116" s="309">
        <f t="shared" si="48"/>
        <v>0</v>
      </c>
      <c r="BA116" s="309">
        <f t="shared" si="48"/>
        <v>0</v>
      </c>
      <c r="BB116" s="309">
        <f t="shared" si="48"/>
        <v>0</v>
      </c>
      <c r="BC116" s="309">
        <f t="shared" si="48"/>
        <v>0</v>
      </c>
      <c r="BD116" s="309">
        <f t="shared" si="48"/>
        <v>0</v>
      </c>
      <c r="BE116" s="309">
        <f t="shared" si="48"/>
        <v>0</v>
      </c>
      <c r="BF116" s="309">
        <f t="shared" si="48"/>
        <v>0</v>
      </c>
      <c r="BG116" s="309">
        <f t="shared" si="48"/>
        <v>0</v>
      </c>
      <c r="BH116" s="309">
        <f t="shared" si="48"/>
        <v>0</v>
      </c>
      <c r="BI116" s="309">
        <f t="shared" si="48"/>
        <v>0</v>
      </c>
      <c r="BJ116" s="309">
        <f t="shared" si="48"/>
        <v>0</v>
      </c>
      <c r="BK116" s="309">
        <f t="shared" si="48"/>
        <v>0</v>
      </c>
      <c r="BL116" s="309">
        <f t="shared" si="48"/>
        <v>0</v>
      </c>
      <c r="BM116" s="309">
        <f t="shared" si="48"/>
        <v>0</v>
      </c>
      <c r="BN116" s="309">
        <f t="shared" si="48"/>
        <v>0</v>
      </c>
      <c r="BO116" s="309">
        <f t="shared" si="48"/>
        <v>0</v>
      </c>
      <c r="BP116" s="309">
        <f t="shared" si="48"/>
        <v>0</v>
      </c>
      <c r="BQ116" s="309">
        <f t="shared" si="48"/>
        <v>0</v>
      </c>
      <c r="BR116" s="309">
        <f t="shared" si="48"/>
        <v>0</v>
      </c>
      <c r="BS116" s="309">
        <f t="shared" si="48"/>
        <v>0</v>
      </c>
      <c r="BT116" s="309">
        <f t="shared" si="48"/>
        <v>0</v>
      </c>
      <c r="BU116" s="309">
        <f t="shared" si="48"/>
        <v>0</v>
      </c>
      <c r="BV116" s="309">
        <f t="shared" si="48"/>
        <v>0</v>
      </c>
      <c r="BW116" s="309">
        <f t="shared" si="48"/>
        <v>0</v>
      </c>
      <c r="BX116" s="309">
        <f t="shared" si="48"/>
        <v>0</v>
      </c>
    </row>
    <row r="117" spans="3:76" outlineLevel="1">
      <c r="C117" s="308" t="s">
        <v>266</v>
      </c>
      <c r="D117" s="317"/>
      <c r="E117" s="309"/>
      <c r="F117" s="309"/>
      <c r="G117" s="309"/>
      <c r="H117" s="309"/>
      <c r="I117" s="309"/>
      <c r="J117" s="309"/>
      <c r="K117" s="309"/>
      <c r="L117" s="309"/>
      <c r="M117" s="309"/>
      <c r="N117" s="309"/>
      <c r="O117" s="309"/>
      <c r="P117" s="309"/>
      <c r="Q117" s="309"/>
      <c r="R117" s="309"/>
      <c r="S117" s="309"/>
      <c r="T117" s="309"/>
      <c r="U117" s="309"/>
      <c r="V117" s="309"/>
      <c r="W117" s="309"/>
      <c r="X117" s="309"/>
      <c r="Y117" s="309"/>
      <c r="Z117" s="309"/>
      <c r="AA117" s="309"/>
      <c r="AB117" s="309"/>
      <c r="AC117" s="309"/>
      <c r="AD117" s="309"/>
      <c r="AE117" s="309"/>
      <c r="AF117" s="309"/>
      <c r="AG117" s="309"/>
      <c r="AH117" s="309"/>
      <c r="AI117" s="309"/>
      <c r="AJ117" s="309"/>
      <c r="AK117" s="309"/>
      <c r="AL117" s="309"/>
      <c r="AM117" s="309"/>
      <c r="AN117" s="309"/>
      <c r="AO117" s="309"/>
      <c r="AP117" s="309"/>
      <c r="AQ117" s="309"/>
      <c r="AR117" s="309"/>
      <c r="AS117" s="309"/>
      <c r="AT117" s="309"/>
      <c r="AU117" s="309"/>
      <c r="AV117" s="309"/>
      <c r="AW117" s="309"/>
      <c r="AX117" s="309"/>
      <c r="AY117" s="309"/>
      <c r="AZ117" s="309"/>
      <c r="BA117" s="309"/>
      <c r="BB117" s="309"/>
      <c r="BC117" s="309"/>
      <c r="BD117" s="309"/>
      <c r="BE117" s="309"/>
      <c r="BF117" s="309"/>
      <c r="BG117" s="309"/>
      <c r="BH117" s="309"/>
      <c r="BI117" s="309"/>
      <c r="BJ117" s="309"/>
      <c r="BK117" s="309"/>
      <c r="BL117" s="309"/>
      <c r="BM117" s="309"/>
      <c r="BN117" s="309"/>
      <c r="BO117" s="309"/>
      <c r="BP117" s="309"/>
      <c r="BQ117" s="309"/>
      <c r="BR117" s="309"/>
      <c r="BS117" s="309"/>
      <c r="BT117" s="309"/>
      <c r="BU117" s="309"/>
      <c r="BV117" s="309"/>
      <c r="BW117" s="309"/>
      <c r="BX117" s="309">
        <f>IF(D91&gt;0.25,(BX85-BX94)*D118,BX85*D118)</f>
        <v>14117361.393995509</v>
      </c>
    </row>
    <row r="118" spans="3:76" outlineLevel="1">
      <c r="C118" s="311" t="s">
        <v>267</v>
      </c>
      <c r="D118" s="317">
        <f>1-D103</f>
        <v>0.8</v>
      </c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  <c r="Z118" s="250"/>
      <c r="AA118" s="250"/>
      <c r="AB118" s="250"/>
      <c r="AC118" s="250"/>
      <c r="AD118" s="250"/>
      <c r="AE118" s="250"/>
      <c r="AF118" s="250"/>
      <c r="AG118" s="250"/>
      <c r="AH118" s="250"/>
      <c r="AI118" s="250"/>
      <c r="AJ118" s="250"/>
      <c r="AK118" s="250"/>
      <c r="AL118" s="250"/>
      <c r="AM118" s="250">
        <f>AM85*$D$118</f>
        <v>17646701.742494386</v>
      </c>
      <c r="AN118" s="250"/>
      <c r="AO118" s="250"/>
      <c r="AP118" s="250"/>
      <c r="AQ118" s="250"/>
      <c r="AR118" s="250"/>
      <c r="AS118" s="250"/>
      <c r="AT118" s="250"/>
      <c r="AU118" s="250"/>
      <c r="AV118" s="250"/>
      <c r="AW118" s="250"/>
      <c r="AX118" s="250"/>
      <c r="AY118" s="250"/>
      <c r="AZ118" s="250"/>
      <c r="BA118" s="250"/>
      <c r="BB118" s="250"/>
      <c r="BC118" s="250"/>
      <c r="BD118" s="250"/>
      <c r="BE118" s="250"/>
      <c r="BF118" s="250"/>
      <c r="BG118" s="250"/>
      <c r="BH118" s="250"/>
      <c r="BI118" s="250"/>
      <c r="BJ118" s="250"/>
      <c r="BK118" s="250"/>
      <c r="BL118" s="250"/>
      <c r="BM118" s="250"/>
      <c r="BN118" s="250"/>
      <c r="BO118" s="250"/>
      <c r="BP118" s="250"/>
      <c r="BQ118" s="250"/>
      <c r="BR118" s="250"/>
      <c r="BS118" s="250"/>
      <c r="BT118" s="250"/>
      <c r="BU118" s="250"/>
      <c r="BV118" s="250"/>
      <c r="BW118" s="250"/>
      <c r="BX118" s="250"/>
    </row>
    <row r="119" spans="3:76" outlineLevel="1">
      <c r="C119" s="308" t="s">
        <v>268</v>
      </c>
      <c r="D119" s="309"/>
      <c r="E119" s="319">
        <f t="shared" ref="E119:BX119" si="49">E114+E115+E116+E117+E118</f>
        <v>0</v>
      </c>
      <c r="F119" s="319">
        <f t="shared" si="49"/>
        <v>0</v>
      </c>
      <c r="G119" s="319">
        <f t="shared" si="49"/>
        <v>0</v>
      </c>
      <c r="H119" s="319">
        <f t="shared" si="49"/>
        <v>0</v>
      </c>
      <c r="I119" s="319">
        <f t="shared" si="49"/>
        <v>0</v>
      </c>
      <c r="J119" s="319">
        <f t="shared" si="49"/>
        <v>0</v>
      </c>
      <c r="K119" s="319">
        <f t="shared" si="49"/>
        <v>0</v>
      </c>
      <c r="L119" s="319">
        <f t="shared" si="49"/>
        <v>0</v>
      </c>
      <c r="M119" s="319">
        <f t="shared" si="49"/>
        <v>0</v>
      </c>
      <c r="N119" s="319">
        <f t="shared" si="49"/>
        <v>0</v>
      </c>
      <c r="O119" s="319">
        <f t="shared" si="49"/>
        <v>0</v>
      </c>
      <c r="P119" s="319">
        <f t="shared" si="49"/>
        <v>-3994008</v>
      </c>
      <c r="Q119" s="319">
        <f t="shared" si="49"/>
        <v>0</v>
      </c>
      <c r="R119" s="319">
        <f t="shared" si="49"/>
        <v>0</v>
      </c>
      <c r="S119" s="319">
        <f t="shared" si="49"/>
        <v>0</v>
      </c>
      <c r="T119" s="319">
        <f t="shared" si="49"/>
        <v>-500000</v>
      </c>
      <c r="U119" s="319">
        <f t="shared" si="49"/>
        <v>0</v>
      </c>
      <c r="V119" s="319">
        <f t="shared" si="49"/>
        <v>0</v>
      </c>
      <c r="W119" s="319">
        <f t="shared" si="49"/>
        <v>-19000000</v>
      </c>
      <c r="X119" s="319">
        <f t="shared" si="49"/>
        <v>0</v>
      </c>
      <c r="Y119" s="319">
        <f t="shared" si="49"/>
        <v>0</v>
      </c>
      <c r="Z119" s="319">
        <f t="shared" si="49"/>
        <v>0</v>
      </c>
      <c r="AA119" s="319">
        <f t="shared" si="49"/>
        <v>0</v>
      </c>
      <c r="AB119" s="319">
        <f t="shared" si="49"/>
        <v>0</v>
      </c>
      <c r="AC119" s="319">
        <f t="shared" si="49"/>
        <v>1632000</v>
      </c>
      <c r="AD119" s="319">
        <f t="shared" si="49"/>
        <v>0</v>
      </c>
      <c r="AE119" s="319">
        <f t="shared" si="49"/>
        <v>0</v>
      </c>
      <c r="AF119" s="319">
        <f t="shared" si="49"/>
        <v>0</v>
      </c>
      <c r="AG119" s="319">
        <f t="shared" si="49"/>
        <v>0</v>
      </c>
      <c r="AH119" s="319">
        <f t="shared" si="49"/>
        <v>0</v>
      </c>
      <c r="AI119" s="319">
        <f t="shared" si="49"/>
        <v>0</v>
      </c>
      <c r="AJ119" s="319">
        <f t="shared" si="49"/>
        <v>0</v>
      </c>
      <c r="AK119" s="319">
        <f t="shared" si="49"/>
        <v>0</v>
      </c>
      <c r="AL119" s="319">
        <f t="shared" si="49"/>
        <v>0</v>
      </c>
      <c r="AM119" s="319">
        <f t="shared" si="49"/>
        <v>43275331.502494387</v>
      </c>
      <c r="AN119" s="319">
        <f t="shared" si="49"/>
        <v>0</v>
      </c>
      <c r="AO119" s="319">
        <f t="shared" si="49"/>
        <v>0</v>
      </c>
      <c r="AP119" s="319">
        <f t="shared" si="49"/>
        <v>0</v>
      </c>
      <c r="AQ119" s="319">
        <f t="shared" si="49"/>
        <v>0</v>
      </c>
      <c r="AR119" s="319">
        <f t="shared" si="49"/>
        <v>0</v>
      </c>
      <c r="AS119" s="319">
        <f t="shared" si="49"/>
        <v>0</v>
      </c>
      <c r="AT119" s="319">
        <f t="shared" si="49"/>
        <v>0</v>
      </c>
      <c r="AU119" s="319">
        <f t="shared" si="49"/>
        <v>0</v>
      </c>
      <c r="AV119" s="319">
        <f t="shared" si="49"/>
        <v>0</v>
      </c>
      <c r="AW119" s="319">
        <f t="shared" si="49"/>
        <v>0</v>
      </c>
      <c r="AX119" s="319">
        <f t="shared" si="49"/>
        <v>0</v>
      </c>
      <c r="AY119" s="319">
        <f t="shared" si="49"/>
        <v>0</v>
      </c>
      <c r="AZ119" s="319">
        <f t="shared" si="49"/>
        <v>0</v>
      </c>
      <c r="BA119" s="319">
        <f t="shared" si="49"/>
        <v>0</v>
      </c>
      <c r="BB119" s="319">
        <f t="shared" si="49"/>
        <v>0</v>
      </c>
      <c r="BC119" s="319">
        <f t="shared" si="49"/>
        <v>0</v>
      </c>
      <c r="BD119" s="319">
        <f t="shared" si="49"/>
        <v>0</v>
      </c>
      <c r="BE119" s="319">
        <f t="shared" si="49"/>
        <v>0</v>
      </c>
      <c r="BF119" s="319">
        <f t="shared" si="49"/>
        <v>0</v>
      </c>
      <c r="BG119" s="319">
        <f t="shared" si="49"/>
        <v>0</v>
      </c>
      <c r="BH119" s="319">
        <f t="shared" si="49"/>
        <v>0</v>
      </c>
      <c r="BI119" s="319">
        <f t="shared" si="49"/>
        <v>0</v>
      </c>
      <c r="BJ119" s="319">
        <f t="shared" si="49"/>
        <v>0</v>
      </c>
      <c r="BK119" s="319">
        <f t="shared" si="49"/>
        <v>0</v>
      </c>
      <c r="BL119" s="319">
        <f t="shared" si="49"/>
        <v>0</v>
      </c>
      <c r="BM119" s="319">
        <f t="shared" si="49"/>
        <v>0</v>
      </c>
      <c r="BN119" s="319">
        <f t="shared" si="49"/>
        <v>0</v>
      </c>
      <c r="BO119" s="319">
        <f t="shared" si="49"/>
        <v>0</v>
      </c>
      <c r="BP119" s="319">
        <f t="shared" si="49"/>
        <v>0</v>
      </c>
      <c r="BQ119" s="319">
        <f t="shared" si="49"/>
        <v>0</v>
      </c>
      <c r="BR119" s="319">
        <f t="shared" si="49"/>
        <v>0</v>
      </c>
      <c r="BS119" s="319">
        <f t="shared" si="49"/>
        <v>0</v>
      </c>
      <c r="BT119" s="319">
        <f t="shared" si="49"/>
        <v>0</v>
      </c>
      <c r="BU119" s="319">
        <f t="shared" si="49"/>
        <v>0</v>
      </c>
      <c r="BV119" s="319">
        <f t="shared" si="49"/>
        <v>0</v>
      </c>
      <c r="BW119" s="319">
        <f t="shared" si="49"/>
        <v>0</v>
      </c>
      <c r="BX119" s="319">
        <f t="shared" si="49"/>
        <v>14117361.393995509</v>
      </c>
    </row>
    <row r="120" spans="3:76" outlineLevel="1">
      <c r="C120" s="312"/>
      <c r="D120" s="322" t="s">
        <v>275</v>
      </c>
      <c r="E120" s="321">
        <f>E119</f>
        <v>0</v>
      </c>
      <c r="F120" s="321">
        <f t="shared" ref="F120:BX120" si="50">E120+F119</f>
        <v>0</v>
      </c>
      <c r="G120" s="321">
        <f t="shared" si="50"/>
        <v>0</v>
      </c>
      <c r="H120" s="321">
        <f t="shared" si="50"/>
        <v>0</v>
      </c>
      <c r="I120" s="321">
        <f t="shared" si="50"/>
        <v>0</v>
      </c>
      <c r="J120" s="321">
        <f t="shared" si="50"/>
        <v>0</v>
      </c>
      <c r="K120" s="321">
        <f t="shared" si="50"/>
        <v>0</v>
      </c>
      <c r="L120" s="321">
        <f t="shared" si="50"/>
        <v>0</v>
      </c>
      <c r="M120" s="321">
        <f t="shared" si="50"/>
        <v>0</v>
      </c>
      <c r="N120" s="321">
        <f t="shared" si="50"/>
        <v>0</v>
      </c>
      <c r="O120" s="321">
        <f t="shared" si="50"/>
        <v>0</v>
      </c>
      <c r="P120" s="321">
        <f t="shared" si="50"/>
        <v>-3994008</v>
      </c>
      <c r="Q120" s="321">
        <f t="shared" si="50"/>
        <v>-3994008</v>
      </c>
      <c r="R120" s="321">
        <f t="shared" si="50"/>
        <v>-3994008</v>
      </c>
      <c r="S120" s="321">
        <f t="shared" si="50"/>
        <v>-3994008</v>
      </c>
      <c r="T120" s="321">
        <f t="shared" si="50"/>
        <v>-4494008</v>
      </c>
      <c r="U120" s="321">
        <f t="shared" si="50"/>
        <v>-4494008</v>
      </c>
      <c r="V120" s="321">
        <f t="shared" si="50"/>
        <v>-4494008</v>
      </c>
      <c r="W120" s="321">
        <f t="shared" si="50"/>
        <v>-23494008</v>
      </c>
      <c r="X120" s="321">
        <f t="shared" si="50"/>
        <v>-23494008</v>
      </c>
      <c r="Y120" s="321">
        <f t="shared" si="50"/>
        <v>-23494008</v>
      </c>
      <c r="Z120" s="321">
        <f t="shared" si="50"/>
        <v>-23494008</v>
      </c>
      <c r="AA120" s="321">
        <f t="shared" si="50"/>
        <v>-23494008</v>
      </c>
      <c r="AB120" s="321">
        <f t="shared" si="50"/>
        <v>-23494008</v>
      </c>
      <c r="AC120" s="321">
        <f t="shared" si="50"/>
        <v>-21862008</v>
      </c>
      <c r="AD120" s="321">
        <f t="shared" si="50"/>
        <v>-21862008</v>
      </c>
      <c r="AE120" s="321">
        <f t="shared" si="50"/>
        <v>-21862008</v>
      </c>
      <c r="AF120" s="321">
        <f t="shared" si="50"/>
        <v>-21862008</v>
      </c>
      <c r="AG120" s="321">
        <f t="shared" si="50"/>
        <v>-21862008</v>
      </c>
      <c r="AH120" s="321">
        <f t="shared" si="50"/>
        <v>-21862008</v>
      </c>
      <c r="AI120" s="321">
        <f t="shared" si="50"/>
        <v>-21862008</v>
      </c>
      <c r="AJ120" s="321">
        <f t="shared" si="50"/>
        <v>-21862008</v>
      </c>
      <c r="AK120" s="321">
        <f t="shared" si="50"/>
        <v>-21862008</v>
      </c>
      <c r="AL120" s="321">
        <f t="shared" si="50"/>
        <v>-21862008</v>
      </c>
      <c r="AM120" s="321">
        <f t="shared" si="50"/>
        <v>21413323.502494387</v>
      </c>
      <c r="AN120" s="321">
        <f t="shared" si="50"/>
        <v>21413323.502494387</v>
      </c>
      <c r="AO120" s="321">
        <f t="shared" si="50"/>
        <v>21413323.502494387</v>
      </c>
      <c r="AP120" s="321">
        <f t="shared" si="50"/>
        <v>21413323.502494387</v>
      </c>
      <c r="AQ120" s="321">
        <f t="shared" si="50"/>
        <v>21413323.502494387</v>
      </c>
      <c r="AR120" s="321">
        <f t="shared" si="50"/>
        <v>21413323.502494387</v>
      </c>
      <c r="AS120" s="321">
        <f t="shared" si="50"/>
        <v>21413323.502494387</v>
      </c>
      <c r="AT120" s="321">
        <f t="shared" si="50"/>
        <v>21413323.502494387</v>
      </c>
      <c r="AU120" s="321">
        <f t="shared" si="50"/>
        <v>21413323.502494387</v>
      </c>
      <c r="AV120" s="321">
        <f t="shared" si="50"/>
        <v>21413323.502494387</v>
      </c>
      <c r="AW120" s="321">
        <f t="shared" si="50"/>
        <v>21413323.502494387</v>
      </c>
      <c r="AX120" s="321">
        <f t="shared" si="50"/>
        <v>21413323.502494387</v>
      </c>
      <c r="AY120" s="321">
        <f t="shared" si="50"/>
        <v>21413323.502494387</v>
      </c>
      <c r="AZ120" s="321">
        <f t="shared" si="50"/>
        <v>21413323.502494387</v>
      </c>
      <c r="BA120" s="321">
        <f t="shared" si="50"/>
        <v>21413323.502494387</v>
      </c>
      <c r="BB120" s="321">
        <f t="shared" si="50"/>
        <v>21413323.502494387</v>
      </c>
      <c r="BC120" s="321">
        <f t="shared" si="50"/>
        <v>21413323.502494387</v>
      </c>
      <c r="BD120" s="321">
        <f t="shared" si="50"/>
        <v>21413323.502494387</v>
      </c>
      <c r="BE120" s="321">
        <f t="shared" si="50"/>
        <v>21413323.502494387</v>
      </c>
      <c r="BF120" s="321">
        <f t="shared" si="50"/>
        <v>21413323.502494387</v>
      </c>
      <c r="BG120" s="321">
        <f t="shared" si="50"/>
        <v>21413323.502494387</v>
      </c>
      <c r="BH120" s="321">
        <f t="shared" si="50"/>
        <v>21413323.502494387</v>
      </c>
      <c r="BI120" s="321">
        <f t="shared" si="50"/>
        <v>21413323.502494387</v>
      </c>
      <c r="BJ120" s="321">
        <f t="shared" si="50"/>
        <v>21413323.502494387</v>
      </c>
      <c r="BK120" s="321">
        <f t="shared" si="50"/>
        <v>21413323.502494387</v>
      </c>
      <c r="BL120" s="321">
        <f t="shared" si="50"/>
        <v>21413323.502494387</v>
      </c>
      <c r="BM120" s="321">
        <f t="shared" si="50"/>
        <v>21413323.502494387</v>
      </c>
      <c r="BN120" s="321">
        <f t="shared" si="50"/>
        <v>21413323.502494387</v>
      </c>
      <c r="BO120" s="321">
        <f t="shared" si="50"/>
        <v>21413323.502494387</v>
      </c>
      <c r="BP120" s="321">
        <f t="shared" si="50"/>
        <v>21413323.502494387</v>
      </c>
      <c r="BQ120" s="321">
        <f t="shared" si="50"/>
        <v>21413323.502494387</v>
      </c>
      <c r="BR120" s="321">
        <f t="shared" si="50"/>
        <v>21413323.502494387</v>
      </c>
      <c r="BS120" s="321">
        <f t="shared" si="50"/>
        <v>21413323.502494387</v>
      </c>
      <c r="BT120" s="321">
        <f t="shared" si="50"/>
        <v>21413323.502494387</v>
      </c>
      <c r="BU120" s="321">
        <f t="shared" si="50"/>
        <v>21413323.502494387</v>
      </c>
      <c r="BV120" s="321">
        <f t="shared" si="50"/>
        <v>21413323.502494387</v>
      </c>
      <c r="BW120" s="321">
        <f t="shared" si="50"/>
        <v>21413323.502494387</v>
      </c>
      <c r="BX120" s="321">
        <f t="shared" si="50"/>
        <v>35530684.896489896</v>
      </c>
    </row>
    <row r="121" spans="3:76" outlineLevel="1">
      <c r="C121" s="311" t="s">
        <v>261</v>
      </c>
      <c r="D121" s="322">
        <f>IRR(L119:AM119)*12</f>
        <v>0.46738833746939523</v>
      </c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  <c r="AQ121" s="229"/>
      <c r="AR121" s="229"/>
      <c r="AS121" s="229"/>
      <c r="AT121" s="229"/>
      <c r="AU121" s="229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29"/>
      <c r="BF121" s="229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29"/>
      <c r="BQ121" s="229"/>
      <c r="BR121" s="229"/>
      <c r="BS121" s="229"/>
      <c r="BT121" s="229"/>
      <c r="BU121" s="229"/>
      <c r="BV121" s="229"/>
      <c r="BW121" s="229"/>
      <c r="BX121" s="229"/>
    </row>
    <row r="122" spans="3:76" outlineLevel="1">
      <c r="C122" s="323" t="s">
        <v>269</v>
      </c>
      <c r="D122" s="324">
        <f>-MIN(E120:BL120)</f>
        <v>23494008</v>
      </c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29"/>
      <c r="AK122" s="229"/>
      <c r="AL122" s="229"/>
      <c r="AM122" s="229"/>
      <c r="AN122" s="229"/>
      <c r="AO122" s="229"/>
      <c r="AP122" s="229"/>
      <c r="AQ122" s="229"/>
      <c r="AR122" s="229"/>
      <c r="AS122" s="229"/>
      <c r="AT122" s="229"/>
      <c r="AU122" s="229"/>
      <c r="AV122" s="229"/>
      <c r="AW122" s="229"/>
      <c r="AX122" s="229"/>
      <c r="AY122" s="229"/>
      <c r="AZ122" s="229"/>
      <c r="BA122" s="229"/>
      <c r="BB122" s="229"/>
      <c r="BC122" s="229"/>
      <c r="BD122" s="229"/>
      <c r="BE122" s="229"/>
      <c r="BF122" s="229"/>
      <c r="BG122" s="229"/>
      <c r="BH122" s="229"/>
      <c r="BI122" s="229"/>
      <c r="BJ122" s="229"/>
      <c r="BK122" s="229"/>
      <c r="BL122" s="229"/>
      <c r="BM122" s="229"/>
      <c r="BN122" s="229"/>
      <c r="BO122" s="229"/>
      <c r="BP122" s="229"/>
      <c r="BQ122" s="229"/>
      <c r="BR122" s="229"/>
      <c r="BS122" s="229"/>
      <c r="BT122" s="229"/>
      <c r="BU122" s="229"/>
      <c r="BV122" s="229"/>
      <c r="BW122" s="229"/>
      <c r="BX122" s="229"/>
    </row>
    <row r="123" spans="3:76" outlineLevel="1">
      <c r="C123" s="323" t="s">
        <v>276</v>
      </c>
      <c r="D123" s="324"/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  <c r="U123" s="229"/>
      <c r="V123" s="229"/>
      <c r="W123" s="229"/>
      <c r="X123" s="229"/>
      <c r="Y123" s="229"/>
      <c r="Z123" s="229"/>
      <c r="AA123" s="229"/>
      <c r="AB123" s="229"/>
      <c r="AC123" s="229"/>
      <c r="AD123" s="229"/>
      <c r="AE123" s="229"/>
      <c r="AF123" s="229"/>
      <c r="AG123" s="229"/>
      <c r="AH123" s="229"/>
      <c r="AI123" s="229"/>
      <c r="AJ123" s="229"/>
      <c r="AK123" s="229"/>
      <c r="AL123" s="229"/>
      <c r="AM123" s="229"/>
      <c r="AN123" s="229"/>
      <c r="AO123" s="229"/>
      <c r="AP123" s="229"/>
      <c r="AQ123" s="229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229"/>
      <c r="BD123" s="229"/>
      <c r="BE123" s="229"/>
      <c r="BF123" s="229"/>
      <c r="BG123" s="229"/>
      <c r="BH123" s="229"/>
      <c r="BI123" s="229"/>
      <c r="BJ123" s="229"/>
      <c r="BK123" s="229"/>
      <c r="BL123" s="229"/>
      <c r="BM123" s="229"/>
      <c r="BN123" s="229"/>
      <c r="BO123" s="229"/>
      <c r="BP123" s="229"/>
      <c r="BQ123" s="229"/>
      <c r="BR123" s="229"/>
      <c r="BS123" s="229"/>
      <c r="BT123" s="229"/>
      <c r="BU123" s="229"/>
      <c r="BV123" s="229"/>
      <c r="BW123" s="229"/>
      <c r="BX123" s="229"/>
    </row>
    <row r="124" spans="3:76" outlineLevel="1">
      <c r="C124" s="311" t="s">
        <v>270</v>
      </c>
      <c r="D124" s="325">
        <f>D123+D122</f>
        <v>23494008</v>
      </c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  <c r="U124" s="229"/>
      <c r="V124" s="229"/>
      <c r="W124" s="229"/>
      <c r="X124" s="229"/>
      <c r="Y124" s="229"/>
      <c r="Z124" s="229"/>
      <c r="AA124" s="229"/>
      <c r="AB124" s="229"/>
      <c r="AC124" s="229"/>
      <c r="AD124" s="229"/>
      <c r="AE124" s="229"/>
      <c r="AF124" s="229"/>
      <c r="AG124" s="229"/>
      <c r="AH124" s="229"/>
      <c r="AI124" s="229"/>
      <c r="AJ124" s="229"/>
      <c r="AK124" s="229"/>
      <c r="AL124" s="229"/>
      <c r="AM124" s="229"/>
      <c r="AN124" s="229"/>
      <c r="AO124" s="229"/>
      <c r="AP124" s="229"/>
      <c r="AQ124" s="229"/>
      <c r="AR124" s="229"/>
      <c r="AS124" s="229"/>
      <c r="AT124" s="229"/>
      <c r="AU124" s="229"/>
      <c r="AV124" s="229"/>
      <c r="AW124" s="229"/>
      <c r="AX124" s="229"/>
      <c r="AY124" s="229"/>
      <c r="AZ124" s="229"/>
      <c r="BA124" s="229"/>
      <c r="BB124" s="229"/>
      <c r="BC124" s="229"/>
      <c r="BD124" s="229"/>
      <c r="BE124" s="229"/>
      <c r="BF124" s="229"/>
      <c r="BG124" s="229"/>
      <c r="BH124" s="229"/>
      <c r="BI124" s="229"/>
      <c r="BJ124" s="229"/>
      <c r="BK124" s="229"/>
      <c r="BL124" s="229"/>
      <c r="BM124" s="229"/>
      <c r="BN124" s="229"/>
      <c r="BO124" s="229"/>
      <c r="BP124" s="229"/>
      <c r="BQ124" s="229"/>
      <c r="BR124" s="229"/>
      <c r="BS124" s="229"/>
      <c r="BT124" s="229"/>
      <c r="BU124" s="229"/>
      <c r="BV124" s="229"/>
      <c r="BW124" s="229"/>
      <c r="BX124" s="229"/>
    </row>
    <row r="125" spans="3:76" outlineLevel="1">
      <c r="C125" s="311" t="s">
        <v>271</v>
      </c>
      <c r="D125" s="325">
        <f>AM116+AM118</f>
        <v>21413323.502494387</v>
      </c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  <c r="U125" s="229"/>
      <c r="V125" s="229"/>
      <c r="W125" s="229"/>
      <c r="X125" s="229"/>
      <c r="Y125" s="229"/>
      <c r="Z125" s="229"/>
      <c r="AA125" s="229"/>
      <c r="AB125" s="229"/>
      <c r="AC125" s="229"/>
      <c r="AD125" s="229"/>
      <c r="AE125" s="229"/>
      <c r="AF125" s="229"/>
      <c r="AG125" s="229"/>
      <c r="AH125" s="229"/>
      <c r="AI125" s="229"/>
      <c r="AJ125" s="229"/>
      <c r="AK125" s="229"/>
      <c r="AL125" s="229"/>
      <c r="AM125" s="229"/>
      <c r="AN125" s="229"/>
      <c r="AO125" s="229"/>
      <c r="AP125" s="229"/>
      <c r="AQ125" s="229"/>
      <c r="AR125" s="229"/>
      <c r="AS125" s="229"/>
      <c r="AT125" s="229"/>
      <c r="AU125" s="229"/>
      <c r="AV125" s="229"/>
      <c r="AW125" s="229"/>
      <c r="AX125" s="229"/>
      <c r="AY125" s="229"/>
      <c r="AZ125" s="229"/>
      <c r="BA125" s="229"/>
      <c r="BB125" s="229"/>
      <c r="BC125" s="229"/>
      <c r="BD125" s="229"/>
      <c r="BE125" s="229"/>
      <c r="BF125" s="229"/>
      <c r="BG125" s="229"/>
      <c r="BH125" s="229"/>
      <c r="BI125" s="229"/>
      <c r="BJ125" s="229"/>
      <c r="BK125" s="229"/>
      <c r="BL125" s="229"/>
      <c r="BM125" s="229"/>
      <c r="BN125" s="229"/>
      <c r="BO125" s="229"/>
      <c r="BP125" s="229"/>
      <c r="BQ125" s="229"/>
      <c r="BR125" s="229"/>
      <c r="BS125" s="229"/>
      <c r="BT125" s="229"/>
      <c r="BU125" s="229"/>
      <c r="BV125" s="229"/>
      <c r="BW125" s="229"/>
      <c r="BX125" s="229"/>
    </row>
    <row r="126" spans="3:76" outlineLevel="1">
      <c r="C126" s="311" t="s">
        <v>272</v>
      </c>
      <c r="D126" s="322">
        <f>(D125-D123)/D124</f>
        <v>0.91143765263442433</v>
      </c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  <c r="U126" s="229"/>
      <c r="V126" s="229"/>
      <c r="W126" s="229"/>
      <c r="X126" s="229"/>
      <c r="Y126" s="229"/>
      <c r="Z126" s="229"/>
      <c r="AA126" s="229"/>
      <c r="AB126" s="229"/>
      <c r="AC126" s="229"/>
      <c r="AD126" s="229"/>
      <c r="AE126" s="229"/>
      <c r="AF126" s="229"/>
      <c r="AG126" s="229"/>
      <c r="AH126" s="229"/>
      <c r="AI126" s="229"/>
      <c r="AJ126" s="229"/>
      <c r="AK126" s="229"/>
      <c r="AL126" s="229"/>
      <c r="AM126" s="229"/>
      <c r="AN126" s="229"/>
      <c r="AO126" s="229"/>
      <c r="AP126" s="229"/>
      <c r="AQ126" s="229"/>
      <c r="AR126" s="229"/>
      <c r="AS126" s="229"/>
      <c r="AT126" s="229"/>
      <c r="AU126" s="229"/>
      <c r="AV126" s="229"/>
      <c r="AW126" s="229"/>
      <c r="AX126" s="229"/>
      <c r="AY126" s="229"/>
      <c r="AZ126" s="229"/>
      <c r="BA126" s="229"/>
      <c r="BB126" s="229"/>
      <c r="BC126" s="229"/>
      <c r="BD126" s="229"/>
      <c r="BE126" s="229"/>
      <c r="BF126" s="229"/>
      <c r="BG126" s="229"/>
      <c r="BH126" s="229"/>
      <c r="BI126" s="229"/>
      <c r="BJ126" s="229"/>
      <c r="BK126" s="229"/>
      <c r="BL126" s="229"/>
      <c r="BM126" s="229"/>
      <c r="BN126" s="229"/>
      <c r="BO126" s="229"/>
      <c r="BP126" s="229"/>
      <c r="BQ126" s="229"/>
      <c r="BR126" s="229"/>
      <c r="BS126" s="229"/>
      <c r="BT126" s="229"/>
      <c r="BU126" s="229"/>
      <c r="BV126" s="229"/>
      <c r="BW126" s="229"/>
      <c r="BX126" s="229"/>
    </row>
    <row r="136" spans="3:3" hidden="1" collapsed="1">
      <c r="C136" s="308" t="s">
        <v>277</v>
      </c>
    </row>
    <row r="137" spans="3:3" hidden="1" outlineLevel="1">
      <c r="C137" s="308" t="s">
        <v>274</v>
      </c>
    </row>
    <row r="138" spans="3:3" hidden="1" outlineLevel="1">
      <c r="C138" s="308" t="s">
        <v>265</v>
      </c>
    </row>
    <row r="139" spans="3:3" hidden="1" outlineLevel="1">
      <c r="C139" s="308" t="s">
        <v>266</v>
      </c>
    </row>
    <row r="140" spans="3:3" hidden="1" outlineLevel="1">
      <c r="C140" s="311" t="s">
        <v>267</v>
      </c>
    </row>
    <row r="141" spans="3:3" hidden="1" outlineLevel="1">
      <c r="C141" s="308" t="s">
        <v>268</v>
      </c>
    </row>
    <row r="142" spans="3:3" hidden="1" outlineLevel="1">
      <c r="C142" s="312"/>
    </row>
    <row r="143" spans="3:3" hidden="1" outlineLevel="1">
      <c r="C143" s="311" t="s">
        <v>261</v>
      </c>
    </row>
    <row r="144" spans="3:3" hidden="1" outlineLevel="1">
      <c r="C144" s="323" t="s">
        <v>269</v>
      </c>
    </row>
    <row r="145" spans="3:3" hidden="1" outlineLevel="1">
      <c r="C145" s="323" t="s">
        <v>276</v>
      </c>
    </row>
    <row r="146" spans="3:3" hidden="1" outlineLevel="1">
      <c r="C146" s="311" t="s">
        <v>270</v>
      </c>
    </row>
    <row r="147" spans="3:3" hidden="1" outlineLevel="1">
      <c r="C147" s="311" t="s">
        <v>271</v>
      </c>
    </row>
    <row r="148" spans="3:3" hidden="1" outlineLevel="1">
      <c r="C148" s="311" t="s">
        <v>272</v>
      </c>
    </row>
    <row r="149" spans="3:3" ht="14.1" hidden="1"/>
    <row r="150" spans="3:3" ht="14.1" hidden="1"/>
    <row r="151" spans="3:3" ht="14.1" hidden="1"/>
    <row r="152" spans="3:3" ht="14.1" hidden="1"/>
    <row r="153" spans="3:3" hidden="1" collapsed="1">
      <c r="C153" s="308" t="s">
        <v>278</v>
      </c>
    </row>
    <row r="154" spans="3:3" hidden="1" outlineLevel="1">
      <c r="C154" s="308" t="s">
        <v>274</v>
      </c>
    </row>
    <row r="155" spans="3:3" hidden="1" outlineLevel="1">
      <c r="C155" s="308" t="s">
        <v>265</v>
      </c>
    </row>
    <row r="156" spans="3:3" hidden="1" outlineLevel="1">
      <c r="C156" s="308" t="s">
        <v>266</v>
      </c>
    </row>
    <row r="157" spans="3:3" hidden="1" outlineLevel="1">
      <c r="C157" s="311" t="s">
        <v>267</v>
      </c>
    </row>
    <row r="158" spans="3:3" hidden="1" outlineLevel="1">
      <c r="C158" s="308" t="s">
        <v>268</v>
      </c>
    </row>
    <row r="159" spans="3:3" hidden="1" outlineLevel="1">
      <c r="C159" s="312"/>
    </row>
    <row r="160" spans="3:3" hidden="1" outlineLevel="1">
      <c r="C160" s="311" t="s">
        <v>261</v>
      </c>
    </row>
    <row r="161" spans="3:3" hidden="1" outlineLevel="1">
      <c r="C161" s="323" t="s">
        <v>269</v>
      </c>
    </row>
    <row r="162" spans="3:3" hidden="1" outlineLevel="1">
      <c r="C162" s="323" t="s">
        <v>276</v>
      </c>
    </row>
    <row r="163" spans="3:3" hidden="1" outlineLevel="1">
      <c r="C163" s="311" t="s">
        <v>270</v>
      </c>
    </row>
    <row r="164" spans="3:3" hidden="1" outlineLevel="1">
      <c r="C164" s="311" t="s">
        <v>271</v>
      </c>
    </row>
    <row r="165" spans="3:3" hidden="1" outlineLevel="1">
      <c r="C165" s="311" t="s">
        <v>272</v>
      </c>
    </row>
  </sheetData>
  <mergeCells count="29">
    <mergeCell ref="B18:B81"/>
    <mergeCell ref="B82:C82"/>
    <mergeCell ref="B2:C4"/>
    <mergeCell ref="B5:B8"/>
    <mergeCell ref="B9:B11"/>
    <mergeCell ref="B12:B16"/>
    <mergeCell ref="B17:C17"/>
    <mergeCell ref="B83:C83"/>
    <mergeCell ref="B84:C84"/>
    <mergeCell ref="B85:C85"/>
    <mergeCell ref="D91:E91"/>
    <mergeCell ref="D94:BW94"/>
    <mergeCell ref="BY74:BZ74"/>
    <mergeCell ref="BZ75:BZ81"/>
    <mergeCell ref="BY82:BZ82"/>
    <mergeCell ref="BY83:BZ83"/>
    <mergeCell ref="BY84:BZ84"/>
    <mergeCell ref="BM2:BX2"/>
    <mergeCell ref="BY2:BZ4"/>
    <mergeCell ref="BZ12:BZ16"/>
    <mergeCell ref="BZ18:BZ73"/>
    <mergeCell ref="BZ5:BZ8"/>
    <mergeCell ref="BZ9:BZ11"/>
    <mergeCell ref="BY17:BZ17"/>
    <mergeCell ref="E2:P2"/>
    <mergeCell ref="Q2:AB2"/>
    <mergeCell ref="AC2:AN2"/>
    <mergeCell ref="AO2:AZ2"/>
    <mergeCell ref="BA2:BL2"/>
  </mergeCells>
  <conditionalFormatting sqref="E18:BX18 E24:BX24 E28:BX28 E36:BX36 E39:BX39 E49:BX49 E55:BX55 E63:BX63 E71:BX71 E74:BX74">
    <cfRule type="cellIs" dxfId="11" priority="1" operator="equal">
      <formula>0</formula>
    </cfRule>
  </conditionalFormatting>
  <conditionalFormatting sqref="F99:BS102 E100 BT100:BX100 E102 BT102:BX102 E114 F114:BX117 E116 E136 M136:BX136 F136:L139 E138 M138:BX138 E155:BX155">
    <cfRule type="cellIs" dxfId="10" priority="2" operator="equal">
      <formula>0</formula>
    </cfRule>
  </conditionalFormatting>
  <pageMargins left="0" right="0" top="0" bottom="0" header="0" footer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4F3AA69A854CD4AB8E018F1423272BF" ma:contentTypeVersion="13" ma:contentTypeDescription="Vytvoří nový dokument" ma:contentTypeScope="" ma:versionID="940fd3435990646d7f95a60ae3e702be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16551eaeb24eaa5445a1d7d035578c3b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E59F14-E5B3-4F2B-B7D2-ABF28523AA69}"/>
</file>

<file path=customXml/itemProps2.xml><?xml version="1.0" encoding="utf-8"?>
<ds:datastoreItem xmlns:ds="http://schemas.openxmlformats.org/officeDocument/2006/customXml" ds:itemID="{87F19D0E-F074-4966-A9B6-348977ABCBE0}"/>
</file>

<file path=customXml/itemProps3.xml><?xml version="1.0" encoding="utf-8"?>
<ds:datastoreItem xmlns:ds="http://schemas.openxmlformats.org/officeDocument/2006/customXml" ds:itemID="{EEDD723A-B756-43BF-B94F-0208474289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Václav Pergler</cp:lastModifiedBy>
  <cp:revision/>
  <dcterms:created xsi:type="dcterms:W3CDTF">2025-08-11T14:03:49Z</dcterms:created>
  <dcterms:modified xsi:type="dcterms:W3CDTF">2026-01-23T10:39:59Z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