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4" documentId="13_ncr:1_{F40002BD-275A-EA42-8FD1-356A4058E985}" xr6:coauthVersionLast="47" xr6:coauthVersionMax="47" xr10:uidLastSave="{94368CC0-9EA4-4943-95B9-0AFFA58F909C}"/>
  <bookViews>
    <workbookView xWindow="160" yWindow="940" windowWidth="33880" windowHeight="19840" firstSheet="6" activeTab="6" xr2:uid="{00000000-000D-0000-FFFF-FFFF00000000}"/>
  </bookViews>
  <sheets>
    <sheet name="Rentroll" sheetId="1" r:id="rId1"/>
    <sheet name="HMG" sheetId="2" state="hidden" r:id="rId2"/>
    <sheet name="OneReport" sheetId="3" state="hidden" r:id="rId3"/>
    <sheet name="Harmonogram" sheetId="4" state="hidden" r:id="rId4"/>
    <sheet name="Businessplan_prodej" sheetId="5" r:id="rId5"/>
    <sheet name="LEKVI ODRY OVERVIEW" sheetId="6" state="hidden" r:id="rId6"/>
    <sheet name="Cash-flow 6.2025" sheetId="7" r:id="rId7"/>
    <sheet name="Cash-flow" sheetId="8" state="hidden" r:id="rId8"/>
    <sheet name="Interest Calc EQ" sheetId="9" r:id="rId9"/>
    <sheet name="Params" sheetId="10" state="hidden" r:id="rId10"/>
    <sheet name="Shares" sheetId="11" state="hidden" r:id="rId11"/>
    <sheet name="vyberove konanie" sheetId="12" state="hidden" r:id="rId12"/>
    <sheet name="Businessplan_pravo_stavby" sheetId="13" state="hidden" r:id="rId13"/>
  </sheets>
  <definedNames>
    <definedName name="_xlnm._FilterDatabase" localSheetId="2" hidden="1">OneReport!$A$2:$G$10</definedName>
    <definedName name="dokonceni">Rentroll!$W$1:$W$3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1" l="1"/>
  <c r="V127" i="7"/>
  <c r="AI127" i="7" s="1"/>
  <c r="F37" i="6"/>
  <c r="C15" i="1"/>
  <c r="X41" i="7"/>
  <c r="W42" i="7"/>
  <c r="AH41" i="7"/>
  <c r="AG41" i="7"/>
  <c r="AF41" i="7"/>
  <c r="AE41" i="7"/>
  <c r="AD41" i="7"/>
  <c r="AC41" i="7"/>
  <c r="AB41" i="7"/>
  <c r="AA41" i="7"/>
  <c r="Z41" i="7"/>
  <c r="Y41" i="7"/>
  <c r="C42" i="7"/>
  <c r="H1" i="3"/>
  <c r="I16" i="6" l="1"/>
  <c r="H17" i="6" s="1"/>
  <c r="W46" i="7"/>
  <c r="BY41" i="7"/>
  <c r="CB42" i="7"/>
  <c r="B61" i="5" l="1"/>
  <c r="AH40" i="7"/>
  <c r="Y29" i="7"/>
  <c r="Z29" i="7"/>
  <c r="AA29" i="7"/>
  <c r="AB29" i="7"/>
  <c r="AC29" i="7"/>
  <c r="AD29" i="7"/>
  <c r="AE29" i="7"/>
  <c r="AF29" i="7"/>
  <c r="AG29" i="7"/>
  <c r="AH29" i="7"/>
  <c r="W40" i="7"/>
  <c r="X40" i="7"/>
  <c r="Y40" i="7"/>
  <c r="Z40" i="7"/>
  <c r="AA40" i="7"/>
  <c r="AB40" i="7"/>
  <c r="AC40" i="7"/>
  <c r="AD40" i="7"/>
  <c r="AE40" i="7"/>
  <c r="AF40" i="7"/>
  <c r="AG40" i="7"/>
  <c r="F55" i="5" l="1"/>
  <c r="BY42" i="7" l="1"/>
  <c r="I10" i="1" l="1"/>
  <c r="I8" i="1"/>
  <c r="I7" i="1"/>
  <c r="I6" i="1"/>
  <c r="I5" i="1"/>
  <c r="J3" i="1"/>
  <c r="F11" i="1"/>
  <c r="G11" i="1" s="1"/>
  <c r="F10" i="1"/>
  <c r="G10" i="1" s="1"/>
  <c r="F9" i="1"/>
  <c r="G9" i="1" s="1"/>
  <c r="F8" i="1"/>
  <c r="G8" i="1" s="1"/>
  <c r="F7" i="1"/>
  <c r="G7" i="1" s="1"/>
  <c r="F6" i="1"/>
  <c r="G6" i="1" s="1"/>
  <c r="H8" i="1" l="1"/>
  <c r="H9" i="1"/>
  <c r="H10" i="1"/>
  <c r="H7" i="1"/>
  <c r="H11" i="1"/>
  <c r="H6" i="1"/>
  <c r="J11" i="1"/>
  <c r="J6" i="1"/>
  <c r="J7" i="1"/>
  <c r="K7" i="1" s="1"/>
  <c r="J8" i="1"/>
  <c r="K8" i="1" s="1"/>
  <c r="J9" i="1"/>
  <c r="K9" i="1" s="1"/>
  <c r="J10" i="1"/>
  <c r="K10" i="1" s="1"/>
  <c r="K6" i="1" l="1"/>
  <c r="L6" i="1"/>
  <c r="K11" i="1"/>
  <c r="L11" i="1"/>
  <c r="M6" i="1"/>
  <c r="M11" i="1"/>
  <c r="M7" i="1"/>
  <c r="L7" i="1"/>
  <c r="M8" i="1"/>
  <c r="M10" i="1"/>
  <c r="M9" i="1"/>
  <c r="L9" i="1"/>
  <c r="L10" i="1"/>
  <c r="L8" i="1"/>
  <c r="D39" i="6" l="1"/>
  <c r="D36" i="6"/>
  <c r="F38" i="6"/>
  <c r="I7" i="6"/>
  <c r="D7" i="11"/>
  <c r="F8" i="5" s="1"/>
  <c r="E12" i="5" s="1"/>
  <c r="E42" i="13"/>
  <c r="E41" i="13"/>
  <c r="E43" i="13" s="1"/>
  <c r="R39" i="13"/>
  <c r="R40" i="13" s="1"/>
  <c r="R41" i="13" s="1"/>
  <c r="R42" i="13" s="1"/>
  <c r="E38" i="13"/>
  <c r="E37" i="13"/>
  <c r="E34" i="13"/>
  <c r="E33" i="13"/>
  <c r="Q30" i="13"/>
  <c r="E30" i="13"/>
  <c r="Q28" i="13"/>
  <c r="F21" i="13"/>
  <c r="F20" i="13"/>
  <c r="N19" i="13"/>
  <c r="F19" i="13"/>
  <c r="F18" i="13"/>
  <c r="R17" i="13"/>
  <c r="F17" i="13"/>
  <c r="K16" i="13"/>
  <c r="J16" i="13"/>
  <c r="I16" i="13"/>
  <c r="K15" i="13"/>
  <c r="J15" i="13"/>
  <c r="I15" i="13"/>
  <c r="K14" i="13"/>
  <c r="J14" i="13"/>
  <c r="I14" i="13"/>
  <c r="K13" i="13"/>
  <c r="J13" i="13"/>
  <c r="I13" i="13"/>
  <c r="M12" i="13"/>
  <c r="K12" i="13"/>
  <c r="J12" i="13"/>
  <c r="I12" i="13"/>
  <c r="K11" i="13"/>
  <c r="J11" i="13"/>
  <c r="I11" i="13"/>
  <c r="K10" i="13"/>
  <c r="I10" i="13"/>
  <c r="K9" i="13"/>
  <c r="J9" i="13"/>
  <c r="I9" i="13"/>
  <c r="E9" i="13"/>
  <c r="M8" i="13"/>
  <c r="K8" i="13"/>
  <c r="J8" i="13"/>
  <c r="I8" i="13"/>
  <c r="F8" i="13"/>
  <c r="L64" i="12"/>
  <c r="L52" i="12"/>
  <c r="L66" i="12" s="1"/>
  <c r="K52" i="12"/>
  <c r="K66" i="12" s="1"/>
  <c r="I52" i="12"/>
  <c r="I66" i="12" s="1"/>
  <c r="I68" i="12" s="1"/>
  <c r="I72" i="12" s="1"/>
  <c r="I73" i="12" s="1"/>
  <c r="H52" i="12"/>
  <c r="H66" i="12" s="1"/>
  <c r="H68" i="12" s="1"/>
  <c r="H72" i="12" s="1"/>
  <c r="H73" i="12" s="1"/>
  <c r="G52" i="12"/>
  <c r="G66" i="12" s="1"/>
  <c r="G68" i="12" s="1"/>
  <c r="G72" i="12" s="1"/>
  <c r="G73" i="12" s="1"/>
  <c r="F52" i="12"/>
  <c r="F66" i="12" s="1"/>
  <c r="E52" i="12"/>
  <c r="E66" i="12" s="1"/>
  <c r="M50" i="12"/>
  <c r="M66" i="12" s="1"/>
  <c r="G39" i="12"/>
  <c r="E39" i="12"/>
  <c r="E65" i="12" s="1"/>
  <c r="K38" i="12"/>
  <c r="K65" i="12" s="1"/>
  <c r="M37" i="12"/>
  <c r="M65" i="12" s="1"/>
  <c r="I37" i="12"/>
  <c r="H37" i="12"/>
  <c r="F37" i="12"/>
  <c r="F65" i="12" s="1"/>
  <c r="L36" i="12"/>
  <c r="L65" i="12" s="1"/>
  <c r="J22" i="12"/>
  <c r="J66" i="12" s="1"/>
  <c r="E21" i="12"/>
  <c r="E64" i="12" s="1"/>
  <c r="M19" i="12"/>
  <c r="M64" i="12" s="1"/>
  <c r="K19" i="12"/>
  <c r="K64" i="12" s="1"/>
  <c r="J19" i="12"/>
  <c r="J65" i="12" s="1"/>
  <c r="I19" i="12"/>
  <c r="H19" i="12"/>
  <c r="G19" i="12"/>
  <c r="F19" i="12"/>
  <c r="F64" i="12" s="1"/>
  <c r="J17" i="12"/>
  <c r="J64" i="12" s="1"/>
  <c r="M6" i="12"/>
  <c r="M63" i="12" s="1"/>
  <c r="M68" i="12" s="1"/>
  <c r="M72" i="12" s="1"/>
  <c r="M73" i="12" s="1"/>
  <c r="L6" i="12"/>
  <c r="L63" i="12" s="1"/>
  <c r="L68" i="12" s="1"/>
  <c r="L72" i="12" s="1"/>
  <c r="L73" i="12" s="1"/>
  <c r="K6" i="12"/>
  <c r="K63" i="12" s="1"/>
  <c r="K68" i="12" s="1"/>
  <c r="K72" i="12" s="1"/>
  <c r="K73" i="12" s="1"/>
  <c r="I6" i="12"/>
  <c r="H6" i="12"/>
  <c r="G6" i="12"/>
  <c r="F6" i="12"/>
  <c r="F63" i="12" s="1"/>
  <c r="F68" i="12" s="1"/>
  <c r="F72" i="12" s="1"/>
  <c r="F73" i="12" s="1"/>
  <c r="E6" i="12"/>
  <c r="E63" i="12" s="1"/>
  <c r="J5" i="12"/>
  <c r="J63" i="12" s="1"/>
  <c r="C32" i="10"/>
  <c r="D168" i="8"/>
  <c r="BX161" i="8"/>
  <c r="BW161" i="8"/>
  <c r="BV161" i="8"/>
  <c r="BU161" i="8"/>
  <c r="BT161" i="8"/>
  <c r="BS161" i="8"/>
  <c r="BR161" i="8"/>
  <c r="BQ161" i="8"/>
  <c r="BP161" i="8"/>
  <c r="BO161" i="8"/>
  <c r="BN161" i="8"/>
  <c r="BM161" i="8"/>
  <c r="BL161" i="8"/>
  <c r="BK161" i="8"/>
  <c r="BJ161" i="8"/>
  <c r="BI161" i="8"/>
  <c r="BH161" i="8"/>
  <c r="BG161" i="8"/>
  <c r="BF161" i="8"/>
  <c r="BE161" i="8"/>
  <c r="BD161" i="8"/>
  <c r="BC161" i="8"/>
  <c r="BB161" i="8"/>
  <c r="BA161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R161" i="8"/>
  <c r="Q161" i="8"/>
  <c r="P161" i="8"/>
  <c r="O161" i="8"/>
  <c r="N161" i="8"/>
  <c r="M161" i="8"/>
  <c r="L161" i="8"/>
  <c r="K161" i="8"/>
  <c r="J161" i="8"/>
  <c r="I161" i="8"/>
  <c r="H161" i="8"/>
  <c r="G161" i="8"/>
  <c r="F161" i="8"/>
  <c r="E161" i="8"/>
  <c r="BX159" i="8"/>
  <c r="BW159" i="8"/>
  <c r="BW164" i="8" s="1"/>
  <c r="BV159" i="8"/>
  <c r="BV164" i="8" s="1"/>
  <c r="BU159" i="8"/>
  <c r="BU164" i="8" s="1"/>
  <c r="BT159" i="8"/>
  <c r="BT164" i="8" s="1"/>
  <c r="BS159" i="8"/>
  <c r="BS164" i="8" s="1"/>
  <c r="BR159" i="8"/>
  <c r="BR164" i="8" s="1"/>
  <c r="BQ159" i="8"/>
  <c r="BQ164" i="8" s="1"/>
  <c r="BP159" i="8"/>
  <c r="BP164" i="8" s="1"/>
  <c r="BO159" i="8"/>
  <c r="BO164" i="8" s="1"/>
  <c r="BN159" i="8"/>
  <c r="BN164" i="8" s="1"/>
  <c r="BM159" i="8"/>
  <c r="BM164" i="8" s="1"/>
  <c r="BL159" i="8"/>
  <c r="BL164" i="8" s="1"/>
  <c r="BK159" i="8"/>
  <c r="BK164" i="8" s="1"/>
  <c r="BJ159" i="8"/>
  <c r="BJ164" i="8" s="1"/>
  <c r="BI159" i="8"/>
  <c r="BI164" i="8" s="1"/>
  <c r="BH159" i="8"/>
  <c r="BH164" i="8" s="1"/>
  <c r="BG159" i="8"/>
  <c r="BG164" i="8" s="1"/>
  <c r="BF159" i="8"/>
  <c r="BF164" i="8" s="1"/>
  <c r="BE159" i="8"/>
  <c r="BE164" i="8" s="1"/>
  <c r="BD159" i="8"/>
  <c r="BD164" i="8" s="1"/>
  <c r="BC159" i="8"/>
  <c r="BC164" i="8" s="1"/>
  <c r="BB159" i="8"/>
  <c r="BB164" i="8" s="1"/>
  <c r="BA159" i="8"/>
  <c r="BA164" i="8" s="1"/>
  <c r="AZ159" i="8"/>
  <c r="AZ164" i="8" s="1"/>
  <c r="AY159" i="8"/>
  <c r="AY164" i="8" s="1"/>
  <c r="AX159" i="8"/>
  <c r="AX164" i="8" s="1"/>
  <c r="AW159" i="8"/>
  <c r="AW164" i="8" s="1"/>
  <c r="AV159" i="8"/>
  <c r="AV164" i="8" s="1"/>
  <c r="AU159" i="8"/>
  <c r="AU164" i="8" s="1"/>
  <c r="AT159" i="8"/>
  <c r="AT164" i="8" s="1"/>
  <c r="AS159" i="8"/>
  <c r="AS164" i="8" s="1"/>
  <c r="AR159" i="8"/>
  <c r="AR164" i="8" s="1"/>
  <c r="AQ159" i="8"/>
  <c r="AQ164" i="8" s="1"/>
  <c r="AP159" i="8"/>
  <c r="AP164" i="8" s="1"/>
  <c r="AO159" i="8"/>
  <c r="AO164" i="8" s="1"/>
  <c r="AN159" i="8"/>
  <c r="AN164" i="8" s="1"/>
  <c r="AM159" i="8"/>
  <c r="AM164" i="8" s="1"/>
  <c r="AL159" i="8"/>
  <c r="AL164" i="8" s="1"/>
  <c r="AK159" i="8"/>
  <c r="AK164" i="8" s="1"/>
  <c r="AJ159" i="8"/>
  <c r="AJ164" i="8" s="1"/>
  <c r="AI159" i="8"/>
  <c r="AI164" i="8" s="1"/>
  <c r="AH159" i="8"/>
  <c r="AH164" i="8" s="1"/>
  <c r="AG159" i="8"/>
  <c r="AG164" i="8" s="1"/>
  <c r="AF159" i="8"/>
  <c r="AF164" i="8" s="1"/>
  <c r="AE159" i="8"/>
  <c r="AE164" i="8" s="1"/>
  <c r="AD159" i="8"/>
  <c r="AD164" i="8" s="1"/>
  <c r="AC159" i="8"/>
  <c r="AC164" i="8" s="1"/>
  <c r="AB159" i="8"/>
  <c r="AB164" i="8" s="1"/>
  <c r="AA159" i="8"/>
  <c r="AA164" i="8" s="1"/>
  <c r="Z159" i="8"/>
  <c r="Z164" i="8" s="1"/>
  <c r="Y159" i="8"/>
  <c r="Y164" i="8" s="1"/>
  <c r="X159" i="8"/>
  <c r="X164" i="8" s="1"/>
  <c r="W159" i="8"/>
  <c r="W164" i="8" s="1"/>
  <c r="V159" i="8"/>
  <c r="V164" i="8" s="1"/>
  <c r="U159" i="8"/>
  <c r="U164" i="8" s="1"/>
  <c r="T159" i="8"/>
  <c r="T164" i="8" s="1"/>
  <c r="S159" i="8"/>
  <c r="S164" i="8" s="1"/>
  <c r="R159" i="8"/>
  <c r="R164" i="8" s="1"/>
  <c r="Q159" i="8"/>
  <c r="Q164" i="8" s="1"/>
  <c r="P159" i="8"/>
  <c r="P164" i="8" s="1"/>
  <c r="O159" i="8"/>
  <c r="O164" i="8" s="1"/>
  <c r="N159" i="8"/>
  <c r="N164" i="8" s="1"/>
  <c r="M159" i="8"/>
  <c r="M164" i="8" s="1"/>
  <c r="L159" i="8"/>
  <c r="L164" i="8" s="1"/>
  <c r="K159" i="8"/>
  <c r="K164" i="8" s="1"/>
  <c r="J159" i="8"/>
  <c r="J164" i="8" s="1"/>
  <c r="I159" i="8"/>
  <c r="I164" i="8" s="1"/>
  <c r="H159" i="8"/>
  <c r="H164" i="8" s="1"/>
  <c r="G159" i="8"/>
  <c r="G164" i="8" s="1"/>
  <c r="F159" i="8"/>
  <c r="F164" i="8" s="1"/>
  <c r="E159" i="8"/>
  <c r="E164" i="8" s="1"/>
  <c r="E165" i="8" s="1"/>
  <c r="F165" i="8" s="1"/>
  <c r="G165" i="8" s="1"/>
  <c r="D151" i="8"/>
  <c r="BX144" i="8"/>
  <c r="BW144" i="8"/>
  <c r="BV144" i="8"/>
  <c r="BU144" i="8"/>
  <c r="BT144" i="8"/>
  <c r="BS144" i="8"/>
  <c r="BR144" i="8"/>
  <c r="BQ144" i="8"/>
  <c r="BP144" i="8"/>
  <c r="BO144" i="8"/>
  <c r="BN144" i="8"/>
  <c r="BM144" i="8"/>
  <c r="BL144" i="8"/>
  <c r="BK144" i="8"/>
  <c r="BJ144" i="8"/>
  <c r="BI144" i="8"/>
  <c r="BH144" i="8"/>
  <c r="BG144" i="8"/>
  <c r="BF144" i="8"/>
  <c r="BE144" i="8"/>
  <c r="BD144" i="8"/>
  <c r="BC144" i="8"/>
  <c r="BB144" i="8"/>
  <c r="BA144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B144" i="8"/>
  <c r="AA144" i="8"/>
  <c r="Z144" i="8"/>
  <c r="Y144" i="8"/>
  <c r="X144" i="8"/>
  <c r="W144" i="8"/>
  <c r="V144" i="8"/>
  <c r="U144" i="8"/>
  <c r="T144" i="8"/>
  <c r="S144" i="8"/>
  <c r="R144" i="8"/>
  <c r="Q144" i="8"/>
  <c r="P144" i="8"/>
  <c r="O144" i="8"/>
  <c r="N144" i="8"/>
  <c r="M144" i="8"/>
  <c r="L144" i="8"/>
  <c r="K144" i="8"/>
  <c r="J144" i="8"/>
  <c r="I144" i="8"/>
  <c r="H144" i="8"/>
  <c r="G144" i="8"/>
  <c r="F144" i="8"/>
  <c r="E144" i="8"/>
  <c r="BX142" i="8"/>
  <c r="BW142" i="8"/>
  <c r="BW147" i="8" s="1"/>
  <c r="BV142" i="8"/>
  <c r="BV147" i="8" s="1"/>
  <c r="BU142" i="8"/>
  <c r="BU147" i="8" s="1"/>
  <c r="BT142" i="8"/>
  <c r="BT147" i="8" s="1"/>
  <c r="BS142" i="8"/>
  <c r="BS147" i="8" s="1"/>
  <c r="BR142" i="8"/>
  <c r="BR147" i="8" s="1"/>
  <c r="BQ142" i="8"/>
  <c r="BQ147" i="8" s="1"/>
  <c r="BP142" i="8"/>
  <c r="BP147" i="8" s="1"/>
  <c r="BO142" i="8"/>
  <c r="BO147" i="8" s="1"/>
  <c r="BN142" i="8"/>
  <c r="BN147" i="8" s="1"/>
  <c r="BM142" i="8"/>
  <c r="BM147" i="8" s="1"/>
  <c r="BL142" i="8"/>
  <c r="BL147" i="8" s="1"/>
  <c r="BK142" i="8"/>
  <c r="BK147" i="8" s="1"/>
  <c r="BJ142" i="8"/>
  <c r="BJ147" i="8" s="1"/>
  <c r="BI142" i="8"/>
  <c r="BI147" i="8" s="1"/>
  <c r="BH142" i="8"/>
  <c r="BH147" i="8" s="1"/>
  <c r="BG142" i="8"/>
  <c r="BG147" i="8" s="1"/>
  <c r="BF142" i="8"/>
  <c r="BF147" i="8" s="1"/>
  <c r="BE142" i="8"/>
  <c r="BE147" i="8" s="1"/>
  <c r="BD142" i="8"/>
  <c r="BD147" i="8" s="1"/>
  <c r="BC142" i="8"/>
  <c r="BC147" i="8" s="1"/>
  <c r="BB142" i="8"/>
  <c r="BB147" i="8" s="1"/>
  <c r="BA142" i="8"/>
  <c r="BA147" i="8" s="1"/>
  <c r="AZ142" i="8"/>
  <c r="AZ147" i="8" s="1"/>
  <c r="AY142" i="8"/>
  <c r="AY147" i="8" s="1"/>
  <c r="AX142" i="8"/>
  <c r="AX147" i="8" s="1"/>
  <c r="AW142" i="8"/>
  <c r="AW147" i="8" s="1"/>
  <c r="AV142" i="8"/>
  <c r="AV147" i="8" s="1"/>
  <c r="AU142" i="8"/>
  <c r="AU147" i="8" s="1"/>
  <c r="AT142" i="8"/>
  <c r="AT147" i="8" s="1"/>
  <c r="AS142" i="8"/>
  <c r="AS147" i="8" s="1"/>
  <c r="AR142" i="8"/>
  <c r="AR147" i="8" s="1"/>
  <c r="AQ142" i="8"/>
  <c r="AQ147" i="8" s="1"/>
  <c r="AP142" i="8"/>
  <c r="AP147" i="8" s="1"/>
  <c r="AO142" i="8"/>
  <c r="AO147" i="8" s="1"/>
  <c r="AN142" i="8"/>
  <c r="AN147" i="8" s="1"/>
  <c r="AM142" i="8"/>
  <c r="AM147" i="8" s="1"/>
  <c r="AL142" i="8"/>
  <c r="AL147" i="8" s="1"/>
  <c r="AK142" i="8"/>
  <c r="AK147" i="8" s="1"/>
  <c r="AJ142" i="8"/>
  <c r="AJ147" i="8" s="1"/>
  <c r="AI142" i="8"/>
  <c r="AI147" i="8" s="1"/>
  <c r="AH142" i="8"/>
  <c r="AH147" i="8" s="1"/>
  <c r="AG142" i="8"/>
  <c r="AG147" i="8" s="1"/>
  <c r="AF142" i="8"/>
  <c r="AF147" i="8" s="1"/>
  <c r="AE142" i="8"/>
  <c r="AE147" i="8" s="1"/>
  <c r="AD142" i="8"/>
  <c r="AD147" i="8" s="1"/>
  <c r="O142" i="8"/>
  <c r="O147" i="8" s="1"/>
  <c r="N142" i="8"/>
  <c r="N147" i="8" s="1"/>
  <c r="M142" i="8"/>
  <c r="M147" i="8" s="1"/>
  <c r="L142" i="8"/>
  <c r="K142" i="8"/>
  <c r="K147" i="8" s="1"/>
  <c r="J142" i="8"/>
  <c r="J147" i="8" s="1"/>
  <c r="I142" i="8"/>
  <c r="I147" i="8" s="1"/>
  <c r="H142" i="8"/>
  <c r="H147" i="8" s="1"/>
  <c r="G142" i="8"/>
  <c r="G147" i="8" s="1"/>
  <c r="F142" i="8"/>
  <c r="F147" i="8" s="1"/>
  <c r="E142" i="8"/>
  <c r="E147" i="8" s="1"/>
  <c r="E148" i="8" s="1"/>
  <c r="F148" i="8" s="1"/>
  <c r="G148" i="8" s="1"/>
  <c r="H148" i="8" s="1"/>
  <c r="I148" i="8" s="1"/>
  <c r="J148" i="8" s="1"/>
  <c r="K148" i="8" s="1"/>
  <c r="D135" i="8"/>
  <c r="BX128" i="8"/>
  <c r="BW128" i="8"/>
  <c r="BV128" i="8"/>
  <c r="BU128" i="8"/>
  <c r="BT128" i="8"/>
  <c r="BS128" i="8"/>
  <c r="BR128" i="8"/>
  <c r="BQ128" i="8"/>
  <c r="BP128" i="8"/>
  <c r="BO128" i="8"/>
  <c r="BN128" i="8"/>
  <c r="BM128" i="8"/>
  <c r="BL128" i="8"/>
  <c r="BK128" i="8"/>
  <c r="BJ128" i="8"/>
  <c r="BI128" i="8"/>
  <c r="BH128" i="8"/>
  <c r="BG128" i="8"/>
  <c r="BF128" i="8"/>
  <c r="BE128" i="8"/>
  <c r="BD128" i="8"/>
  <c r="BC128" i="8"/>
  <c r="BB128" i="8"/>
  <c r="BA128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F128" i="8"/>
  <c r="E128" i="8"/>
  <c r="P127" i="8"/>
  <c r="BX126" i="8"/>
  <c r="BW126" i="8"/>
  <c r="BW131" i="8" s="1"/>
  <c r="BV126" i="8"/>
  <c r="BV131" i="8" s="1"/>
  <c r="BU126" i="8"/>
  <c r="BU131" i="8" s="1"/>
  <c r="BT126" i="8"/>
  <c r="BT131" i="8" s="1"/>
  <c r="BS126" i="8"/>
  <c r="BS131" i="8" s="1"/>
  <c r="BR126" i="8"/>
  <c r="BR131" i="8" s="1"/>
  <c r="BQ126" i="8"/>
  <c r="BQ131" i="8" s="1"/>
  <c r="BP126" i="8"/>
  <c r="BP131" i="8" s="1"/>
  <c r="BO126" i="8"/>
  <c r="BO131" i="8" s="1"/>
  <c r="BN126" i="8"/>
  <c r="BN131" i="8" s="1"/>
  <c r="BM126" i="8"/>
  <c r="BM131" i="8" s="1"/>
  <c r="BL126" i="8"/>
  <c r="BL131" i="8" s="1"/>
  <c r="BK126" i="8"/>
  <c r="BK131" i="8" s="1"/>
  <c r="BJ126" i="8"/>
  <c r="BJ131" i="8" s="1"/>
  <c r="BI126" i="8"/>
  <c r="BI131" i="8" s="1"/>
  <c r="BH126" i="8"/>
  <c r="BH131" i="8" s="1"/>
  <c r="BG126" i="8"/>
  <c r="BG131" i="8" s="1"/>
  <c r="BF126" i="8"/>
  <c r="BF131" i="8" s="1"/>
  <c r="BE126" i="8"/>
  <c r="BD126" i="8"/>
  <c r="BD131" i="8" s="1"/>
  <c r="BC126" i="8"/>
  <c r="BC131" i="8" s="1"/>
  <c r="BB126" i="8"/>
  <c r="BB131" i="8" s="1"/>
  <c r="BA126" i="8"/>
  <c r="BA131" i="8" s="1"/>
  <c r="AZ126" i="8"/>
  <c r="AZ131" i="8" s="1"/>
  <c r="AY126" i="8"/>
  <c r="AY131" i="8" s="1"/>
  <c r="AX126" i="8"/>
  <c r="AX131" i="8" s="1"/>
  <c r="AW126" i="8"/>
  <c r="AW131" i="8" s="1"/>
  <c r="AV126" i="8"/>
  <c r="AV131" i="8" s="1"/>
  <c r="AU126" i="8"/>
  <c r="AU131" i="8" s="1"/>
  <c r="AT126" i="8"/>
  <c r="AT131" i="8" s="1"/>
  <c r="AS126" i="8"/>
  <c r="AS131" i="8" s="1"/>
  <c r="AR126" i="8"/>
  <c r="AR131" i="8" s="1"/>
  <c r="AQ126" i="8"/>
  <c r="AQ131" i="8" s="1"/>
  <c r="AP126" i="8"/>
  <c r="AP131" i="8" s="1"/>
  <c r="AO126" i="8"/>
  <c r="AO131" i="8" s="1"/>
  <c r="AN126" i="8"/>
  <c r="AN131" i="8" s="1"/>
  <c r="AM126" i="8"/>
  <c r="AM131" i="8" s="1"/>
  <c r="AL126" i="8"/>
  <c r="AL131" i="8" s="1"/>
  <c r="AK126" i="8"/>
  <c r="AK131" i="8" s="1"/>
  <c r="AJ126" i="8"/>
  <c r="AJ131" i="8" s="1"/>
  <c r="AI126" i="8"/>
  <c r="AI131" i="8" s="1"/>
  <c r="AH126" i="8"/>
  <c r="AH131" i="8" s="1"/>
  <c r="AG126" i="8"/>
  <c r="AF126" i="8"/>
  <c r="AF131" i="8" s="1"/>
  <c r="AE126" i="8"/>
  <c r="AE131" i="8" s="1"/>
  <c r="AD126" i="8"/>
  <c r="AD131" i="8" s="1"/>
  <c r="AB126" i="8"/>
  <c r="AB131" i="8" s="1"/>
  <c r="AA126" i="8"/>
  <c r="AA131" i="8" s="1"/>
  <c r="Z126" i="8"/>
  <c r="Z131" i="8" s="1"/>
  <c r="Y126" i="8"/>
  <c r="X126" i="8"/>
  <c r="X131" i="8" s="1"/>
  <c r="W126" i="8"/>
  <c r="W131" i="8" s="1"/>
  <c r="V126" i="8"/>
  <c r="V131" i="8" s="1"/>
  <c r="U126" i="8"/>
  <c r="U131" i="8" s="1"/>
  <c r="T126" i="8"/>
  <c r="T131" i="8" s="1"/>
  <c r="S126" i="8"/>
  <c r="S131" i="8" s="1"/>
  <c r="R126" i="8"/>
  <c r="R131" i="8" s="1"/>
  <c r="Q126" i="8"/>
  <c r="P126" i="8"/>
  <c r="P131" i="8" s="1"/>
  <c r="O126" i="8"/>
  <c r="O131" i="8" s="1"/>
  <c r="N126" i="8"/>
  <c r="N131" i="8" s="1"/>
  <c r="M126" i="8"/>
  <c r="M131" i="8" s="1"/>
  <c r="L126" i="8"/>
  <c r="L131" i="8" s="1"/>
  <c r="K126" i="8"/>
  <c r="K131" i="8" s="1"/>
  <c r="J126" i="8"/>
  <c r="J131" i="8" s="1"/>
  <c r="I126" i="8"/>
  <c r="H126" i="8"/>
  <c r="H131" i="8" s="1"/>
  <c r="G126" i="8"/>
  <c r="G131" i="8" s="1"/>
  <c r="F126" i="8"/>
  <c r="F131" i="8" s="1"/>
  <c r="E126" i="8"/>
  <c r="BX113" i="8"/>
  <c r="BW113" i="8"/>
  <c r="BV113" i="8"/>
  <c r="BU113" i="8"/>
  <c r="BT113" i="8"/>
  <c r="BS113" i="8"/>
  <c r="BR113" i="8"/>
  <c r="BQ113" i="8"/>
  <c r="BP113" i="8"/>
  <c r="BO113" i="8"/>
  <c r="BN113" i="8"/>
  <c r="BM113" i="8"/>
  <c r="BL113" i="8"/>
  <c r="BK113" i="8"/>
  <c r="BJ113" i="8"/>
  <c r="BI113" i="8"/>
  <c r="BH113" i="8"/>
  <c r="BG113" i="8"/>
  <c r="BF113" i="8"/>
  <c r="BE113" i="8"/>
  <c r="BD113" i="8"/>
  <c r="BC113" i="8"/>
  <c r="BB113" i="8"/>
  <c r="BA113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I113" i="8"/>
  <c r="H113" i="8"/>
  <c r="G113" i="8"/>
  <c r="F113" i="8"/>
  <c r="E113" i="8"/>
  <c r="BX111" i="8"/>
  <c r="BW111" i="8"/>
  <c r="BV111" i="8"/>
  <c r="BV103" i="8" s="1"/>
  <c r="BU111" i="8"/>
  <c r="BU103" i="8" s="1"/>
  <c r="BT111" i="8"/>
  <c r="BS111" i="8"/>
  <c r="BS117" i="8" s="1"/>
  <c r="BR111" i="8"/>
  <c r="BR117" i="8" s="1"/>
  <c r="BQ111" i="8"/>
  <c r="BQ117" i="8" s="1"/>
  <c r="BP111" i="8"/>
  <c r="BP117" i="8" s="1"/>
  <c r="BO111" i="8"/>
  <c r="BN111" i="8"/>
  <c r="BN103" i="8" s="1"/>
  <c r="BM111" i="8"/>
  <c r="BM103" i="8" s="1"/>
  <c r="BL111" i="8"/>
  <c r="BK111" i="8"/>
  <c r="BK117" i="8" s="1"/>
  <c r="BJ111" i="8"/>
  <c r="BJ117" i="8" s="1"/>
  <c r="BI111" i="8"/>
  <c r="BI117" i="8" s="1"/>
  <c r="BH111" i="8"/>
  <c r="BH117" i="8" s="1"/>
  <c r="BG111" i="8"/>
  <c r="BF111" i="8"/>
  <c r="BF103" i="8" s="1"/>
  <c r="BE111" i="8"/>
  <c r="BE103" i="8" s="1"/>
  <c r="BD111" i="8"/>
  <c r="BC111" i="8"/>
  <c r="BC117" i="8" s="1"/>
  <c r="BB111" i="8"/>
  <c r="BB117" i="8" s="1"/>
  <c r="BA111" i="8"/>
  <c r="BA117" i="8" s="1"/>
  <c r="AZ111" i="8"/>
  <c r="AZ117" i="8" s="1"/>
  <c r="AY111" i="8"/>
  <c r="AX111" i="8"/>
  <c r="AX103" i="8" s="1"/>
  <c r="AW111" i="8"/>
  <c r="AW103" i="8" s="1"/>
  <c r="AV111" i="8"/>
  <c r="AU111" i="8"/>
  <c r="AU117" i="8" s="1"/>
  <c r="AT111" i="8"/>
  <c r="AT117" i="8" s="1"/>
  <c r="AS111" i="8"/>
  <c r="AS117" i="8" s="1"/>
  <c r="AR111" i="8"/>
  <c r="AR117" i="8" s="1"/>
  <c r="AQ111" i="8"/>
  <c r="AP111" i="8"/>
  <c r="AP103" i="8" s="1"/>
  <c r="AO111" i="8"/>
  <c r="AO103" i="8" s="1"/>
  <c r="AN111" i="8"/>
  <c r="AM111" i="8"/>
  <c r="AM117" i="8" s="1"/>
  <c r="AL111" i="8"/>
  <c r="AL117" i="8" s="1"/>
  <c r="AK111" i="8"/>
  <c r="AK117" i="8" s="1"/>
  <c r="AJ111" i="8"/>
  <c r="AJ117" i="8" s="1"/>
  <c r="AI111" i="8"/>
  <c r="AH111" i="8"/>
  <c r="AH103" i="8" s="1"/>
  <c r="AG111" i="8"/>
  <c r="AG103" i="8" s="1"/>
  <c r="AF111" i="8"/>
  <c r="AE111" i="8"/>
  <c r="AE117" i="8" s="1"/>
  <c r="AD111" i="8"/>
  <c r="AD117" i="8" s="1"/>
  <c r="AB111" i="8"/>
  <c r="AB142" i="8" s="1"/>
  <c r="AB147" i="8" s="1"/>
  <c r="AA111" i="8"/>
  <c r="AA117" i="8" s="1"/>
  <c r="Z111" i="8"/>
  <c r="Z103" i="8" s="1"/>
  <c r="Y111" i="8"/>
  <c r="Y117" i="8" s="1"/>
  <c r="X111" i="8"/>
  <c r="W111" i="8"/>
  <c r="V111" i="8"/>
  <c r="V117" i="8" s="1"/>
  <c r="U111" i="8"/>
  <c r="T111" i="8"/>
  <c r="T142" i="8" s="1"/>
  <c r="T147" i="8" s="1"/>
  <c r="S111" i="8"/>
  <c r="S117" i="8" s="1"/>
  <c r="R111" i="8"/>
  <c r="R103" i="8" s="1"/>
  <c r="Q111" i="8"/>
  <c r="P111" i="8"/>
  <c r="O111" i="8"/>
  <c r="O117" i="8" s="1"/>
  <c r="N111" i="8"/>
  <c r="N117" i="8" s="1"/>
  <c r="M111" i="8"/>
  <c r="M117" i="8" s="1"/>
  <c r="L111" i="8"/>
  <c r="K111" i="8"/>
  <c r="K117" i="8" s="1"/>
  <c r="J111" i="8"/>
  <c r="I111" i="8"/>
  <c r="I103" i="8" s="1"/>
  <c r="H111" i="8"/>
  <c r="G111" i="8"/>
  <c r="G117" i="8" s="1"/>
  <c r="F111" i="8"/>
  <c r="F117" i="8" s="1"/>
  <c r="E111" i="8"/>
  <c r="BW103" i="8"/>
  <c r="BS103" i="8"/>
  <c r="BR103" i="8"/>
  <c r="BQ103" i="8"/>
  <c r="BP103" i="8"/>
  <c r="BK103" i="8"/>
  <c r="BJ103" i="8"/>
  <c r="BI103" i="8"/>
  <c r="BH103" i="8"/>
  <c r="BG103" i="8"/>
  <c r="BC103" i="8"/>
  <c r="BB103" i="8"/>
  <c r="BA103" i="8"/>
  <c r="AZ103" i="8"/>
  <c r="AY103" i="8"/>
  <c r="AU103" i="8"/>
  <c r="AT103" i="8"/>
  <c r="AS103" i="8"/>
  <c r="AR103" i="8"/>
  <c r="AQ103" i="8"/>
  <c r="AM103" i="8"/>
  <c r="AL103" i="8"/>
  <c r="AK103" i="8"/>
  <c r="AJ103" i="8"/>
  <c r="AI103" i="8"/>
  <c r="AE103" i="8"/>
  <c r="AD103" i="8"/>
  <c r="AB103" i="8"/>
  <c r="AA103" i="8"/>
  <c r="W103" i="8"/>
  <c r="V103" i="8"/>
  <c r="U103" i="8"/>
  <c r="T103" i="8"/>
  <c r="S103" i="8"/>
  <c r="O103" i="8"/>
  <c r="N103" i="8"/>
  <c r="L103" i="8"/>
  <c r="K103" i="8"/>
  <c r="G103" i="8"/>
  <c r="F103" i="8"/>
  <c r="BY95" i="8"/>
  <c r="BY94" i="8"/>
  <c r="BY93" i="8"/>
  <c r="BY92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BY88" i="8"/>
  <c r="BY87" i="8"/>
  <c r="BX86" i="8"/>
  <c r="BW86" i="8"/>
  <c r="BV86" i="8"/>
  <c r="BU86" i="8"/>
  <c r="BT86" i="8"/>
  <c r="BS86" i="8"/>
  <c r="BR86" i="8"/>
  <c r="BQ86" i="8"/>
  <c r="BP86" i="8"/>
  <c r="BO86" i="8"/>
  <c r="BN86" i="8"/>
  <c r="BM86" i="8"/>
  <c r="BL86" i="8"/>
  <c r="BK86" i="8"/>
  <c r="BJ86" i="8"/>
  <c r="BI86" i="8"/>
  <c r="BH86" i="8"/>
  <c r="BG86" i="8"/>
  <c r="BF86" i="8"/>
  <c r="BE86" i="8"/>
  <c r="BD86" i="8"/>
  <c r="BC86" i="8"/>
  <c r="BB86" i="8"/>
  <c r="BA86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R86" i="8"/>
  <c r="Q86" i="8"/>
  <c r="P86" i="8"/>
  <c r="O86" i="8"/>
  <c r="N86" i="8"/>
  <c r="M86" i="8"/>
  <c r="L86" i="8"/>
  <c r="K86" i="8"/>
  <c r="J86" i="8"/>
  <c r="I86" i="8"/>
  <c r="H86" i="8"/>
  <c r="G86" i="8"/>
  <c r="F86" i="8"/>
  <c r="E86" i="8"/>
  <c r="BY85" i="8"/>
  <c r="BY84" i="8"/>
  <c r="BY83" i="8"/>
  <c r="BY82" i="8"/>
  <c r="BY81" i="8"/>
  <c r="BY80" i="8"/>
  <c r="BY78" i="8"/>
  <c r="BY77" i="8"/>
  <c r="BY76" i="8"/>
  <c r="BY75" i="8"/>
  <c r="BY74" i="8"/>
  <c r="BY73" i="8"/>
  <c r="BY72" i="8"/>
  <c r="BY71" i="8"/>
  <c r="BY70" i="8"/>
  <c r="BY69" i="8"/>
  <c r="BY68" i="8"/>
  <c r="BY67" i="8"/>
  <c r="BY66" i="8"/>
  <c r="BY65" i="8"/>
  <c r="BY64" i="8"/>
  <c r="BY63" i="8"/>
  <c r="BX62" i="8"/>
  <c r="BW62" i="8"/>
  <c r="BV62" i="8"/>
  <c r="BU62" i="8"/>
  <c r="BT62" i="8"/>
  <c r="BS62" i="8"/>
  <c r="BR62" i="8"/>
  <c r="BQ62" i="8"/>
  <c r="BP62" i="8"/>
  <c r="BO62" i="8"/>
  <c r="BN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U61" i="8"/>
  <c r="U54" i="8" s="1"/>
  <c r="BY60" i="8"/>
  <c r="D60" i="8"/>
  <c r="BY59" i="8"/>
  <c r="BY58" i="8"/>
  <c r="BY57" i="8"/>
  <c r="BX54" i="8"/>
  <c r="BW54" i="8"/>
  <c r="BV54" i="8"/>
  <c r="BU54" i="8"/>
  <c r="BT54" i="8"/>
  <c r="BS54" i="8"/>
  <c r="BR54" i="8"/>
  <c r="BQ54" i="8"/>
  <c r="BP54" i="8"/>
  <c r="BO54" i="8"/>
  <c r="BN54" i="8"/>
  <c r="BM54" i="8"/>
  <c r="BL54" i="8"/>
  <c r="BK54" i="8"/>
  <c r="BJ54" i="8"/>
  <c r="BI54" i="8"/>
  <c r="BH54" i="8"/>
  <c r="BG54" i="8"/>
  <c r="BF54" i="8"/>
  <c r="BE54" i="8"/>
  <c r="BD54" i="8"/>
  <c r="BC54" i="8"/>
  <c r="BB54" i="8"/>
  <c r="BA54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BY53" i="8"/>
  <c r="BY51" i="8"/>
  <c r="BX48" i="8"/>
  <c r="BW48" i="8"/>
  <c r="BV48" i="8"/>
  <c r="BU48" i="8"/>
  <c r="BT48" i="8"/>
  <c r="BS48" i="8"/>
  <c r="BR48" i="8"/>
  <c r="BQ48" i="8"/>
  <c r="BP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C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BY47" i="8"/>
  <c r="BY46" i="8"/>
  <c r="CB44" i="8"/>
  <c r="CB43" i="8"/>
  <c r="CB85" i="8" s="1" a="1"/>
  <c r="CB85" i="8" s="1"/>
  <c r="BY42" i="8"/>
  <c r="CB41" i="8"/>
  <c r="CB84" i="8" s="1"/>
  <c r="BY41" i="8"/>
  <c r="CB40" i="8"/>
  <c r="CB83" i="8" s="1"/>
  <c r="CB39" i="8"/>
  <c r="CB82" i="8" s="1"/>
  <c r="BX38" i="8"/>
  <c r="BW38" i="8"/>
  <c r="BV38" i="8"/>
  <c r="BU38" i="8"/>
  <c r="BT38" i="8"/>
  <c r="BS38" i="8"/>
  <c r="BR38" i="8"/>
  <c r="BQ38" i="8"/>
  <c r="BP38" i="8"/>
  <c r="BO38" i="8"/>
  <c r="BN38" i="8"/>
  <c r="BM38" i="8"/>
  <c r="BL38" i="8"/>
  <c r="BK38" i="8"/>
  <c r="BJ38" i="8"/>
  <c r="BI38" i="8"/>
  <c r="BH38" i="8"/>
  <c r="BG38" i="8"/>
  <c r="BF38" i="8"/>
  <c r="BE38" i="8"/>
  <c r="BD38" i="8"/>
  <c r="BC38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E15" i="8" s="1"/>
  <c r="AD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CB37" i="8"/>
  <c r="CB80" i="8" s="1"/>
  <c r="BY37" i="8"/>
  <c r="CB36" i="8"/>
  <c r="CB79" i="8" s="1"/>
  <c r="BY36" i="8"/>
  <c r="BX35" i="8"/>
  <c r="BW35" i="8"/>
  <c r="BV35" i="8"/>
  <c r="BU35" i="8"/>
  <c r="BT35" i="8"/>
  <c r="BS35" i="8"/>
  <c r="BR35" i="8"/>
  <c r="BQ35" i="8"/>
  <c r="BP35" i="8"/>
  <c r="BO35" i="8"/>
  <c r="BN35" i="8"/>
  <c r="BM35" i="8"/>
  <c r="BL35" i="8"/>
  <c r="BK35" i="8"/>
  <c r="BJ35" i="8"/>
  <c r="BI35" i="8"/>
  <c r="BH35" i="8"/>
  <c r="BG35" i="8"/>
  <c r="BF35" i="8"/>
  <c r="BE35" i="8"/>
  <c r="BD35" i="8"/>
  <c r="BC35" i="8"/>
  <c r="BB35" i="8"/>
  <c r="BA35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CB34" i="8"/>
  <c r="CB77" i="8" s="1"/>
  <c r="CB33" i="8"/>
  <c r="CB76" i="8" s="1"/>
  <c r="BY33" i="8"/>
  <c r="CB32" i="8"/>
  <c r="CB75" i="8" s="1"/>
  <c r="CB31" i="8"/>
  <c r="CB74" i="8" s="1"/>
  <c r="BY31" i="8"/>
  <c r="CB30" i="8"/>
  <c r="CB73" i="8" s="1"/>
  <c r="BY30" i="8"/>
  <c r="CB29" i="8"/>
  <c r="CB72" i="8" s="1"/>
  <c r="BY29" i="8"/>
  <c r="CB28" i="8"/>
  <c r="CB71" i="8" s="1"/>
  <c r="AE28" i="8"/>
  <c r="AE27" i="8" s="1"/>
  <c r="AD28" i="8"/>
  <c r="AD27" i="8" s="1"/>
  <c r="AC28" i="8"/>
  <c r="AC27" i="8" s="1"/>
  <c r="AB28" i="8"/>
  <c r="AA28" i="8"/>
  <c r="Z28" i="8"/>
  <c r="Y28" i="8"/>
  <c r="X28" i="8"/>
  <c r="W28" i="8"/>
  <c r="V28" i="8"/>
  <c r="BX27" i="8"/>
  <c r="BW27" i="8"/>
  <c r="BV27" i="8"/>
  <c r="BU27" i="8"/>
  <c r="BT27" i="8"/>
  <c r="BS27" i="8"/>
  <c r="BR27" i="8"/>
  <c r="BQ27" i="8"/>
  <c r="BP27" i="8"/>
  <c r="BO27" i="8"/>
  <c r="BN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CB26" i="8"/>
  <c r="CB69" i="8" s="1"/>
  <c r="BY26" i="8"/>
  <c r="CB25" i="8"/>
  <c r="CB68" i="8" s="1"/>
  <c r="BY25" i="8"/>
  <c r="BY24" i="8" s="1"/>
  <c r="BX24" i="8"/>
  <c r="BW24" i="8"/>
  <c r="BV24" i="8"/>
  <c r="BU24" i="8"/>
  <c r="BT24" i="8"/>
  <c r="BS24" i="8"/>
  <c r="BR24" i="8"/>
  <c r="BQ24" i="8"/>
  <c r="BP24" i="8"/>
  <c r="BO24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Y23" i="8"/>
  <c r="BY22" i="8"/>
  <c r="BY21" i="8"/>
  <c r="BY20" i="8"/>
  <c r="BY19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BY16" i="8"/>
  <c r="CB16" i="8" s="1"/>
  <c r="AD15" i="8"/>
  <c r="BY12" i="8"/>
  <c r="AB11" i="8"/>
  <c r="AA11" i="8"/>
  <c r="Z11" i="8"/>
  <c r="Y11" i="8"/>
  <c r="X11" i="8"/>
  <c r="W11" i="8"/>
  <c r="V11" i="8"/>
  <c r="AC61" i="8" s="1"/>
  <c r="BY9" i="8"/>
  <c r="BY8" i="8"/>
  <c r="CB8" i="8" s="1"/>
  <c r="CB52" i="8" s="1"/>
  <c r="BY7" i="8"/>
  <c r="BY6" i="8"/>
  <c r="CB6" i="8" s="1"/>
  <c r="CB50" i="8" s="1"/>
  <c r="BY5" i="8"/>
  <c r="AC90" i="8" s="1"/>
  <c r="D168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S161" i="7"/>
  <c r="R161" i="7"/>
  <c r="Q161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BX159" i="7"/>
  <c r="BW159" i="7"/>
  <c r="BV159" i="7"/>
  <c r="BU159" i="7"/>
  <c r="BT159" i="7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1" i="7"/>
  <c r="BX144" i="7"/>
  <c r="BW144" i="7"/>
  <c r="BV144" i="7"/>
  <c r="BU144" i="7"/>
  <c r="BT144" i="7"/>
  <c r="BS144" i="7"/>
  <c r="BR144" i="7"/>
  <c r="BQ144" i="7"/>
  <c r="BP144" i="7"/>
  <c r="BO144" i="7"/>
  <c r="BN144" i="7"/>
  <c r="BM144" i="7"/>
  <c r="BL144" i="7"/>
  <c r="BK144" i="7"/>
  <c r="BJ144" i="7"/>
  <c r="BI144" i="7"/>
  <c r="BH144" i="7"/>
  <c r="BG144" i="7"/>
  <c r="BF144" i="7"/>
  <c r="BE144" i="7"/>
  <c r="BD144" i="7"/>
  <c r="BC144" i="7"/>
  <c r="BB144" i="7"/>
  <c r="BA144" i="7"/>
  <c r="AZ144" i="7"/>
  <c r="AY144" i="7"/>
  <c r="AX144" i="7"/>
  <c r="AW144" i="7"/>
  <c r="AV144" i="7"/>
  <c r="AU144" i="7"/>
  <c r="AT144" i="7"/>
  <c r="AS144" i="7"/>
  <c r="AR144" i="7"/>
  <c r="AQ144" i="7"/>
  <c r="AP144" i="7"/>
  <c r="AO144" i="7"/>
  <c r="AN144" i="7"/>
  <c r="AM144" i="7"/>
  <c r="AL144" i="7"/>
  <c r="AK144" i="7"/>
  <c r="AF144" i="7"/>
  <c r="AE144" i="7"/>
  <c r="AD144" i="7"/>
  <c r="AC144" i="7"/>
  <c r="D153" i="7" s="1"/>
  <c r="AB144" i="7"/>
  <c r="AA144" i="7"/>
  <c r="Z144" i="7"/>
  <c r="Y144" i="7"/>
  <c r="X144" i="7"/>
  <c r="W144" i="7"/>
  <c r="V144" i="7"/>
  <c r="U144" i="7"/>
  <c r="T144" i="7"/>
  <c r="S144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BX142" i="7"/>
  <c r="BW142" i="7"/>
  <c r="BV142" i="7"/>
  <c r="BU142" i="7"/>
  <c r="BT142" i="7"/>
  <c r="BS142" i="7"/>
  <c r="BR142" i="7"/>
  <c r="BQ142" i="7"/>
  <c r="BP142" i="7"/>
  <c r="BO142" i="7"/>
  <c r="BN142" i="7"/>
  <c r="BM142" i="7"/>
  <c r="BL142" i="7"/>
  <c r="BK142" i="7"/>
  <c r="BJ142" i="7"/>
  <c r="BI142" i="7"/>
  <c r="BH142" i="7"/>
  <c r="BG142" i="7"/>
  <c r="BF142" i="7"/>
  <c r="BE142" i="7"/>
  <c r="BD142" i="7"/>
  <c r="BC142" i="7"/>
  <c r="BB142" i="7"/>
  <c r="BA142" i="7"/>
  <c r="AZ142" i="7"/>
  <c r="AY142" i="7"/>
  <c r="AX142" i="7"/>
  <c r="AW142" i="7"/>
  <c r="AV142" i="7"/>
  <c r="AU142" i="7"/>
  <c r="AT142" i="7"/>
  <c r="AS142" i="7"/>
  <c r="AR142" i="7"/>
  <c r="AQ142" i="7"/>
  <c r="AP142" i="7"/>
  <c r="AO142" i="7"/>
  <c r="AN142" i="7"/>
  <c r="AM142" i="7"/>
  <c r="AL142" i="7"/>
  <c r="AK142" i="7"/>
  <c r="AF142" i="7"/>
  <c r="AE142" i="7"/>
  <c r="AD142" i="7"/>
  <c r="AC142" i="7"/>
  <c r="AB142" i="7"/>
  <c r="AA142" i="7"/>
  <c r="Z142" i="7"/>
  <c r="Y142" i="7"/>
  <c r="X142" i="7"/>
  <c r="W142" i="7"/>
  <c r="V142" i="7"/>
  <c r="U142" i="7"/>
  <c r="T142" i="7"/>
  <c r="S142" i="7"/>
  <c r="R142" i="7"/>
  <c r="Q142" i="7"/>
  <c r="P142" i="7"/>
  <c r="O142" i="7"/>
  <c r="N142" i="7"/>
  <c r="M142" i="7"/>
  <c r="L142" i="7"/>
  <c r="K142" i="7"/>
  <c r="J142" i="7"/>
  <c r="I142" i="7"/>
  <c r="H142" i="7"/>
  <c r="G142" i="7"/>
  <c r="F142" i="7"/>
  <c r="E142" i="7"/>
  <c r="BX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BC128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BX126" i="7"/>
  <c r="BW126" i="7"/>
  <c r="BV126" i="7"/>
  <c r="BU126" i="7"/>
  <c r="BT126" i="7"/>
  <c r="BS126" i="7"/>
  <c r="BR126" i="7"/>
  <c r="BQ126" i="7"/>
  <c r="BP126" i="7"/>
  <c r="BO126" i="7"/>
  <c r="BN126" i="7"/>
  <c r="BM126" i="7"/>
  <c r="BL126" i="7"/>
  <c r="BK126" i="7"/>
  <c r="BJ126" i="7"/>
  <c r="BI126" i="7"/>
  <c r="BH126" i="7"/>
  <c r="BG126" i="7"/>
  <c r="BF126" i="7"/>
  <c r="BE126" i="7"/>
  <c r="BD126" i="7"/>
  <c r="BC126" i="7"/>
  <c r="BB126" i="7"/>
  <c r="BA126" i="7"/>
  <c r="AZ126" i="7"/>
  <c r="AY126" i="7"/>
  <c r="AX126" i="7"/>
  <c r="AW126" i="7"/>
  <c r="AV126" i="7"/>
  <c r="AU126" i="7"/>
  <c r="AT126" i="7"/>
  <c r="AS126" i="7"/>
  <c r="AR126" i="7"/>
  <c r="AQ126" i="7"/>
  <c r="AP126" i="7"/>
  <c r="AO126" i="7"/>
  <c r="AN126" i="7"/>
  <c r="AM126" i="7"/>
  <c r="AL126" i="7"/>
  <c r="AK126" i="7"/>
  <c r="AH126" i="7"/>
  <c r="AG126" i="7"/>
  <c r="AF126" i="7"/>
  <c r="AE126" i="7"/>
  <c r="AD126" i="7"/>
  <c r="AC126" i="7"/>
  <c r="AB126" i="7"/>
  <c r="AA126" i="7"/>
  <c r="Z126" i="7"/>
  <c r="Y126" i="7"/>
  <c r="X126" i="7"/>
  <c r="W126" i="7"/>
  <c r="V126" i="7"/>
  <c r="U126" i="7"/>
  <c r="T126" i="7"/>
  <c r="S126" i="7"/>
  <c r="R126" i="7"/>
  <c r="Q126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BX113" i="7"/>
  <c r="BW113" i="7"/>
  <c r="BV113" i="7"/>
  <c r="BU113" i="7"/>
  <c r="BT113" i="7"/>
  <c r="BS113" i="7"/>
  <c r="BR113" i="7"/>
  <c r="BQ113" i="7"/>
  <c r="BP113" i="7"/>
  <c r="BO113" i="7"/>
  <c r="BN113" i="7"/>
  <c r="BM113" i="7"/>
  <c r="BL113" i="7"/>
  <c r="BK113" i="7"/>
  <c r="BJ113" i="7"/>
  <c r="BI113" i="7"/>
  <c r="BH113" i="7"/>
  <c r="BG113" i="7"/>
  <c r="BF113" i="7"/>
  <c r="BE113" i="7"/>
  <c r="BD113" i="7"/>
  <c r="BC113" i="7"/>
  <c r="BB113" i="7"/>
  <c r="BA113" i="7"/>
  <c r="AZ113" i="7"/>
  <c r="AY113" i="7"/>
  <c r="AX113" i="7"/>
  <c r="AW113" i="7"/>
  <c r="AV113" i="7"/>
  <c r="AU113" i="7"/>
  <c r="AT113" i="7"/>
  <c r="AS113" i="7"/>
  <c r="AR113" i="7"/>
  <c r="AQ113" i="7"/>
  <c r="AP113" i="7"/>
  <c r="AO113" i="7"/>
  <c r="AN113" i="7"/>
  <c r="AM113" i="7"/>
  <c r="AL113" i="7"/>
  <c r="AK113" i="7"/>
  <c r="AJ113" i="7"/>
  <c r="AI113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BX111" i="7"/>
  <c r="BW111" i="7"/>
  <c r="BV111" i="7"/>
  <c r="BV117" i="7" s="1"/>
  <c r="BU111" i="7"/>
  <c r="BT111" i="7"/>
  <c r="BT117" i="7" s="1"/>
  <c r="BS111" i="7"/>
  <c r="BR111" i="7"/>
  <c r="BR117" i="7" s="1"/>
  <c r="BQ111" i="7"/>
  <c r="BQ117" i="7" s="1"/>
  <c r="BP111" i="7"/>
  <c r="BO111" i="7"/>
  <c r="BO117" i="7" s="1"/>
  <c r="BN111" i="7"/>
  <c r="BM111" i="7"/>
  <c r="BL111" i="7"/>
  <c r="BL117" i="7" s="1"/>
  <c r="BK111" i="7"/>
  <c r="BJ111" i="7"/>
  <c r="BJ117" i="7" s="1"/>
  <c r="BI111" i="7"/>
  <c r="BI117" i="7" s="1"/>
  <c r="BH111" i="7"/>
  <c r="BG111" i="7"/>
  <c r="BG117" i="7" s="1"/>
  <c r="BF111" i="7"/>
  <c r="BE111" i="7"/>
  <c r="BD111" i="7"/>
  <c r="BD117" i="7" s="1"/>
  <c r="BC111" i="7"/>
  <c r="BB111" i="7"/>
  <c r="BB117" i="7" s="1"/>
  <c r="BA111" i="7"/>
  <c r="AZ111" i="7"/>
  <c r="AY111" i="7"/>
  <c r="AY117" i="7" s="1"/>
  <c r="AX111" i="7"/>
  <c r="AX117" i="7" s="1"/>
  <c r="AW111" i="7"/>
  <c r="AW117" i="7" s="1"/>
  <c r="AV111" i="7"/>
  <c r="AV117" i="7" s="1"/>
  <c r="AU111" i="7"/>
  <c r="AT111" i="7"/>
  <c r="AS111" i="7"/>
  <c r="AR111" i="7"/>
  <c r="AQ111" i="7"/>
  <c r="AQ117" i="7" s="1"/>
  <c r="AP111" i="7"/>
  <c r="AO111" i="7"/>
  <c r="AN111" i="7"/>
  <c r="AN117" i="7" s="1"/>
  <c r="AM111" i="7"/>
  <c r="AL111" i="7"/>
  <c r="AK111" i="7"/>
  <c r="AJ111" i="7"/>
  <c r="AI111" i="7"/>
  <c r="AI117" i="7" s="1"/>
  <c r="AH111" i="7"/>
  <c r="AH117" i="7" s="1"/>
  <c r="AG111" i="7"/>
  <c r="AG117" i="7" s="1"/>
  <c r="AF111" i="7"/>
  <c r="AE111" i="7"/>
  <c r="AD111" i="7"/>
  <c r="AC111" i="7"/>
  <c r="AB111" i="7"/>
  <c r="AA111" i="7"/>
  <c r="AA117" i="7" s="1"/>
  <c r="Z111" i="7"/>
  <c r="Y111" i="7"/>
  <c r="X111" i="7"/>
  <c r="X117" i="7" s="1"/>
  <c r="W111" i="7"/>
  <c r="V111" i="7"/>
  <c r="U111" i="7"/>
  <c r="T111" i="7"/>
  <c r="S111" i="7"/>
  <c r="S117" i="7" s="1"/>
  <c r="R111" i="7"/>
  <c r="R117" i="7" s="1"/>
  <c r="Q111" i="7"/>
  <c r="Q117" i="7" s="1"/>
  <c r="P111" i="7"/>
  <c r="P117" i="7" s="1"/>
  <c r="O111" i="7"/>
  <c r="N111" i="7"/>
  <c r="M111" i="7"/>
  <c r="L111" i="7"/>
  <c r="K111" i="7"/>
  <c r="K117" i="7" s="1"/>
  <c r="J111" i="7"/>
  <c r="I111" i="7"/>
  <c r="H111" i="7"/>
  <c r="H117" i="7" s="1"/>
  <c r="G111" i="7"/>
  <c r="G117" i="7" s="1"/>
  <c r="F111" i="7"/>
  <c r="F117" i="7" s="1"/>
  <c r="E111" i="7"/>
  <c r="BY95" i="7"/>
  <c r="BY94" i="7"/>
  <c r="BY93" i="7"/>
  <c r="BY92" i="7"/>
  <c r="BY90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BY88" i="7"/>
  <c r="BY87" i="7"/>
  <c r="BX86" i="7"/>
  <c r="BW86" i="7"/>
  <c r="BV86" i="7"/>
  <c r="BU86" i="7"/>
  <c r="BT86" i="7"/>
  <c r="BS86" i="7"/>
  <c r="BR86" i="7"/>
  <c r="BQ86" i="7"/>
  <c r="BP86" i="7"/>
  <c r="BO86" i="7"/>
  <c r="BN86" i="7"/>
  <c r="BM86" i="7"/>
  <c r="BL86" i="7"/>
  <c r="BK86" i="7"/>
  <c r="BJ86" i="7"/>
  <c r="BI86" i="7"/>
  <c r="BH86" i="7"/>
  <c r="BG86" i="7"/>
  <c r="BF86" i="7"/>
  <c r="BE86" i="7"/>
  <c r="BD86" i="7"/>
  <c r="BC86" i="7"/>
  <c r="BB86" i="7"/>
  <c r="BA86" i="7"/>
  <c r="AZ86" i="7"/>
  <c r="AY86" i="7"/>
  <c r="AX86" i="7"/>
  <c r="AW86" i="7"/>
  <c r="AV86" i="7"/>
  <c r="AU86" i="7"/>
  <c r="AT86" i="7"/>
  <c r="AS86" i="7"/>
  <c r="AR86" i="7"/>
  <c r="AQ86" i="7"/>
  <c r="AP86" i="7"/>
  <c r="AO86" i="7"/>
  <c r="AN86" i="7"/>
  <c r="AM86" i="7"/>
  <c r="AL86" i="7"/>
  <c r="AK86" i="7"/>
  <c r="AJ86" i="7"/>
  <c r="AI86" i="7"/>
  <c r="AH86" i="7"/>
  <c r="AG86" i="7"/>
  <c r="AF86" i="7"/>
  <c r="AE86" i="7"/>
  <c r="AD86" i="7"/>
  <c r="AC86" i="7"/>
  <c r="AB86" i="7"/>
  <c r="AA86" i="7"/>
  <c r="Z86" i="7"/>
  <c r="Y86" i="7"/>
  <c r="X86" i="7"/>
  <c r="W86" i="7"/>
  <c r="V86" i="7"/>
  <c r="U86" i="7"/>
  <c r="T86" i="7"/>
  <c r="S86" i="7"/>
  <c r="R86" i="7"/>
  <c r="Q86" i="7"/>
  <c r="P86" i="7"/>
  <c r="O86" i="7"/>
  <c r="N86" i="7"/>
  <c r="M86" i="7"/>
  <c r="L86" i="7"/>
  <c r="K86" i="7"/>
  <c r="J86" i="7"/>
  <c r="I86" i="7"/>
  <c r="H86" i="7"/>
  <c r="G86" i="7"/>
  <c r="F86" i="7"/>
  <c r="E86" i="7"/>
  <c r="BY85" i="7"/>
  <c r="BY84" i="7"/>
  <c r="BY83" i="7"/>
  <c r="BY82" i="7"/>
  <c r="BY81" i="7"/>
  <c r="BY80" i="7"/>
  <c r="BY78" i="7"/>
  <c r="BY77" i="7"/>
  <c r="BY76" i="7"/>
  <c r="BY75" i="7"/>
  <c r="BY74" i="7"/>
  <c r="BY73" i="7"/>
  <c r="BY72" i="7"/>
  <c r="BY71" i="7"/>
  <c r="BY70" i="7"/>
  <c r="BY69" i="7"/>
  <c r="BY68" i="7"/>
  <c r="BY67" i="7"/>
  <c r="BY66" i="7"/>
  <c r="BY65" i="7"/>
  <c r="BY64" i="7"/>
  <c r="BY63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AI61" i="7"/>
  <c r="AH61" i="7"/>
  <c r="AH10" i="7" s="1"/>
  <c r="AG61" i="7"/>
  <c r="AG54" i="7" s="1"/>
  <c r="AF61" i="7"/>
  <c r="AF54" i="7" s="1"/>
  <c r="AE61" i="7"/>
  <c r="AD61" i="7"/>
  <c r="AD54" i="7" s="1"/>
  <c r="AC61" i="7"/>
  <c r="AC54" i="7" s="1"/>
  <c r="AB61" i="7"/>
  <c r="AB54" i="7" s="1"/>
  <c r="AA61" i="7"/>
  <c r="AA10" i="7" s="1"/>
  <c r="Z61" i="7"/>
  <c r="Z54" i="7" s="1"/>
  <c r="Y61" i="7"/>
  <c r="Y10" i="7" s="1"/>
  <c r="X61" i="7"/>
  <c r="X54" i="7" s="1"/>
  <c r="BY60" i="7"/>
  <c r="D60" i="7"/>
  <c r="BY59" i="7"/>
  <c r="BY58" i="7"/>
  <c r="BY57" i="7"/>
  <c r="BY55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BY53" i="7"/>
  <c r="BY51" i="7"/>
  <c r="BY50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BY46" i="7"/>
  <c r="CB44" i="7"/>
  <c r="CB43" i="7"/>
  <c r="CB85" i="7" s="1" a="1"/>
  <c r="CB85" i="7" s="1"/>
  <c r="CB84" i="7"/>
  <c r="CB83" i="7"/>
  <c r="CB40" i="7"/>
  <c r="CB82" i="7" s="1"/>
  <c r="BX39" i="7"/>
  <c r="BW39" i="7"/>
  <c r="BV39" i="7"/>
  <c r="BU39" i="7"/>
  <c r="BT39" i="7"/>
  <c r="BS39" i="7"/>
  <c r="BR39" i="7"/>
  <c r="BQ39" i="7"/>
  <c r="BP39" i="7"/>
  <c r="BO39" i="7"/>
  <c r="BN39" i="7"/>
  <c r="BM39" i="7"/>
  <c r="BL39" i="7"/>
  <c r="BK39" i="7"/>
  <c r="BJ39" i="7"/>
  <c r="BI39" i="7"/>
  <c r="BH39" i="7"/>
  <c r="BG39" i="7"/>
  <c r="BF39" i="7"/>
  <c r="BE39" i="7"/>
  <c r="BD39" i="7"/>
  <c r="BC39" i="7"/>
  <c r="BB39" i="7"/>
  <c r="BA39" i="7"/>
  <c r="AZ39" i="7"/>
  <c r="AY39" i="7"/>
  <c r="AX39" i="7"/>
  <c r="AW39" i="7"/>
  <c r="AV39" i="7"/>
  <c r="AU39" i="7"/>
  <c r="AT39" i="7"/>
  <c r="AS39" i="7"/>
  <c r="AR39" i="7"/>
  <c r="AQ39" i="7"/>
  <c r="AP39" i="7"/>
  <c r="AO39" i="7"/>
  <c r="AN39" i="7"/>
  <c r="AM39" i="7"/>
  <c r="AL39" i="7"/>
  <c r="AK39" i="7"/>
  <c r="U39" i="7"/>
  <c r="T39" i="7"/>
  <c r="T15" i="7" s="1"/>
  <c r="T17" i="7" s="1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CB38" i="7"/>
  <c r="CB80" i="7" s="1"/>
  <c r="BY38" i="7"/>
  <c r="CB37" i="7"/>
  <c r="CB79" i="7" s="1"/>
  <c r="BY37" i="7"/>
  <c r="BX36" i="7"/>
  <c r="BW36" i="7"/>
  <c r="BV36" i="7"/>
  <c r="BU36" i="7"/>
  <c r="BT36" i="7"/>
  <c r="BS36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BC36" i="7"/>
  <c r="BB36" i="7"/>
  <c r="BA36" i="7"/>
  <c r="AZ36" i="7"/>
  <c r="AY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CB35" i="7"/>
  <c r="CB77" i="7" s="1"/>
  <c r="CB34" i="7"/>
  <c r="CB76" i="7" s="1"/>
  <c r="BY34" i="7"/>
  <c r="CB33" i="7"/>
  <c r="CB75" i="7" s="1"/>
  <c r="CB32" i="7"/>
  <c r="CB74" i="7" s="1"/>
  <c r="BY32" i="7"/>
  <c r="CB31" i="7"/>
  <c r="CB73" i="7" s="1"/>
  <c r="BY31" i="7"/>
  <c r="CB30" i="7"/>
  <c r="CB72" i="7" s="1"/>
  <c r="BY30" i="7"/>
  <c r="CB29" i="7"/>
  <c r="CB71" i="7" s="1"/>
  <c r="BX28" i="7"/>
  <c r="BW28" i="7"/>
  <c r="BV28" i="7"/>
  <c r="BU28" i="7"/>
  <c r="BT28" i="7"/>
  <c r="BS28" i="7"/>
  <c r="BR28" i="7"/>
  <c r="BQ28" i="7"/>
  <c r="BP28" i="7"/>
  <c r="BO28" i="7"/>
  <c r="BN28" i="7"/>
  <c r="BM28" i="7"/>
  <c r="BL28" i="7"/>
  <c r="BK28" i="7"/>
  <c r="BJ28" i="7"/>
  <c r="BI28" i="7"/>
  <c r="BH28" i="7"/>
  <c r="BG28" i="7"/>
  <c r="BF28" i="7"/>
  <c r="BE28" i="7"/>
  <c r="BD28" i="7"/>
  <c r="BC28" i="7"/>
  <c r="BB28" i="7"/>
  <c r="BA28" i="7"/>
  <c r="AZ28" i="7"/>
  <c r="AY28" i="7"/>
  <c r="AX28" i="7"/>
  <c r="AW28" i="7"/>
  <c r="AV28" i="7"/>
  <c r="AU28" i="7"/>
  <c r="AT28" i="7"/>
  <c r="AS28" i="7"/>
  <c r="AR28" i="7"/>
  <c r="AQ28" i="7"/>
  <c r="AP28" i="7"/>
  <c r="AO28" i="7"/>
  <c r="AN28" i="7"/>
  <c r="AM28" i="7"/>
  <c r="AL28" i="7"/>
  <c r="AK28" i="7"/>
  <c r="AJ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CB27" i="7"/>
  <c r="CB69" i="7" s="1"/>
  <c r="BY27" i="7"/>
  <c r="CB26" i="7"/>
  <c r="CB68" i="7" s="1"/>
  <c r="Z26" i="7"/>
  <c r="Z25" i="7" s="1"/>
  <c r="Y26" i="7"/>
  <c r="Y25" i="7" s="1"/>
  <c r="X26" i="7"/>
  <c r="X25" i="7" s="1"/>
  <c r="W26" i="7"/>
  <c r="W25" i="7" s="1"/>
  <c r="BX25" i="7"/>
  <c r="BW25" i="7"/>
  <c r="BV25" i="7"/>
  <c r="BU25" i="7"/>
  <c r="BT25" i="7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A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BY24" i="7"/>
  <c r="V22" i="7"/>
  <c r="BY22" i="7" s="1"/>
  <c r="V20" i="7"/>
  <c r="BY20" i="7" s="1"/>
  <c r="U19" i="7"/>
  <c r="V19" i="7" s="1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BY16" i="7"/>
  <c r="CB16" i="7" s="1"/>
  <c r="BY12" i="7"/>
  <c r="BY11" i="7"/>
  <c r="CB11" i="7" s="1"/>
  <c r="W10" i="7"/>
  <c r="V10" i="7"/>
  <c r="U10" i="7"/>
  <c r="BY9" i="7"/>
  <c r="BY8" i="7"/>
  <c r="CB8" i="7" s="1"/>
  <c r="CB52" i="7" s="1"/>
  <c r="BY7" i="7"/>
  <c r="CB7" i="7" s="1"/>
  <c r="CB51" i="7" s="1"/>
  <c r="BY6" i="7"/>
  <c r="BY5" i="7"/>
  <c r="E94" i="6"/>
  <c r="I10" i="6"/>
  <c r="H95" i="6" s="1"/>
  <c r="I8" i="6"/>
  <c r="C86" i="5"/>
  <c r="F77" i="5"/>
  <c r="B77" i="5"/>
  <c r="B76" i="5"/>
  <c r="E75" i="5"/>
  <c r="B75" i="5"/>
  <c r="B73" i="5"/>
  <c r="B71" i="5"/>
  <c r="B66" i="5"/>
  <c r="B65" i="5"/>
  <c r="B64" i="5"/>
  <c r="B63" i="5"/>
  <c r="B62" i="5"/>
  <c r="B55" i="5"/>
  <c r="B54" i="5"/>
  <c r="B52" i="5"/>
  <c r="F47" i="5"/>
  <c r="B47" i="5"/>
  <c r="B46" i="5"/>
  <c r="B44" i="5"/>
  <c r="B39" i="5"/>
  <c r="B37" i="5"/>
  <c r="F36" i="5"/>
  <c r="B36" i="5"/>
  <c r="F35" i="5"/>
  <c r="B35" i="5"/>
  <c r="F34" i="5"/>
  <c r="B34" i="5"/>
  <c r="F32" i="5"/>
  <c r="F31" i="5"/>
  <c r="J29" i="5"/>
  <c r="J30" i="5" s="1"/>
  <c r="B29" i="5"/>
  <c r="B27" i="5"/>
  <c r="N24" i="5"/>
  <c r="B22" i="5"/>
  <c r="E19" i="5"/>
  <c r="B19" i="5"/>
  <c r="K18" i="5"/>
  <c r="J18" i="5"/>
  <c r="I18" i="5"/>
  <c r="K17" i="5"/>
  <c r="J17" i="5"/>
  <c r="I17" i="5"/>
  <c r="B17" i="5"/>
  <c r="M16" i="5"/>
  <c r="K16" i="5"/>
  <c r="J16" i="5"/>
  <c r="I16" i="5"/>
  <c r="M15" i="5"/>
  <c r="L15" i="5"/>
  <c r="K15" i="5"/>
  <c r="J15" i="5"/>
  <c r="I15" i="5"/>
  <c r="R14" i="5"/>
  <c r="F76" i="5" s="1"/>
  <c r="M14" i="5"/>
  <c r="L14" i="5"/>
  <c r="K14" i="5"/>
  <c r="J14" i="5"/>
  <c r="I14" i="5"/>
  <c r="M13" i="5"/>
  <c r="K13" i="5"/>
  <c r="J13" i="5"/>
  <c r="I13" i="5"/>
  <c r="B13" i="5"/>
  <c r="M12" i="5"/>
  <c r="K12" i="5"/>
  <c r="J12" i="5"/>
  <c r="I12" i="5"/>
  <c r="B12" i="5"/>
  <c r="M11" i="5"/>
  <c r="K11" i="5"/>
  <c r="J11" i="5"/>
  <c r="I11" i="5"/>
  <c r="B11" i="5"/>
  <c r="M10" i="5"/>
  <c r="K10" i="5"/>
  <c r="J10" i="5"/>
  <c r="I10" i="5"/>
  <c r="F10" i="5"/>
  <c r="B10" i="5"/>
  <c r="K9" i="5"/>
  <c r="J9" i="5"/>
  <c r="I9" i="5"/>
  <c r="D9" i="5"/>
  <c r="B9" i="5"/>
  <c r="M8" i="5"/>
  <c r="K8" i="5"/>
  <c r="J8" i="5"/>
  <c r="I8" i="5"/>
  <c r="B8" i="5"/>
  <c r="E10" i="3"/>
  <c r="D10" i="3"/>
  <c r="B10" i="3"/>
  <c r="C10" i="3" s="1"/>
  <c r="A10" i="3"/>
  <c r="E9" i="3"/>
  <c r="D9" i="3"/>
  <c r="B9" i="3"/>
  <c r="C9" i="3" s="1"/>
  <c r="A9" i="3"/>
  <c r="E8" i="3"/>
  <c r="D8" i="3"/>
  <c r="B8" i="3"/>
  <c r="C8" i="3" s="1"/>
  <c r="A8" i="3"/>
  <c r="D7" i="3"/>
  <c r="B7" i="3"/>
  <c r="A7" i="3"/>
  <c r="D6" i="3"/>
  <c r="B6" i="3"/>
  <c r="A6" i="3"/>
  <c r="D5" i="3"/>
  <c r="B5" i="3"/>
  <c r="A5" i="3"/>
  <c r="E4" i="3"/>
  <c r="D4" i="3"/>
  <c r="B4" i="3"/>
  <c r="C4" i="3" s="1"/>
  <c r="A4" i="3"/>
  <c r="E3" i="3"/>
  <c r="D3" i="3"/>
  <c r="B3" i="3"/>
  <c r="A3" i="3"/>
  <c r="D2" i="3"/>
  <c r="C6" i="3"/>
  <c r="G1" i="3"/>
  <c r="B1" i="3"/>
  <c r="B10" i="2"/>
  <c r="B9" i="2"/>
  <c r="B8" i="2"/>
  <c r="B7" i="2"/>
  <c r="F6" i="2"/>
  <c r="E7" i="3" s="1"/>
  <c r="B6" i="2"/>
  <c r="F5" i="2"/>
  <c r="E6" i="3" s="1"/>
  <c r="B5" i="2"/>
  <c r="F4" i="2"/>
  <c r="E5" i="3" s="1"/>
  <c r="B4" i="2"/>
  <c r="B2" i="2"/>
  <c r="C13" i="1"/>
  <c r="J12" i="1"/>
  <c r="K12" i="1" s="1"/>
  <c r="F12" i="1"/>
  <c r="L18" i="5" s="1"/>
  <c r="M17" i="5"/>
  <c r="L17" i="5"/>
  <c r="M16" i="13"/>
  <c r="M15" i="13"/>
  <c r="L15" i="13"/>
  <c r="M14" i="13"/>
  <c r="L14" i="13"/>
  <c r="N14" i="13" s="1"/>
  <c r="M13" i="13"/>
  <c r="L13" i="13"/>
  <c r="J5" i="1"/>
  <c r="K5" i="1" s="1"/>
  <c r="M11" i="13"/>
  <c r="F5" i="1"/>
  <c r="L11" i="5" s="1"/>
  <c r="J4" i="1"/>
  <c r="K4" i="1" s="1"/>
  <c r="M10" i="13"/>
  <c r="F4" i="1"/>
  <c r="M9" i="13"/>
  <c r="F3" i="1"/>
  <c r="J2" i="1"/>
  <c r="K2" i="1" s="1"/>
  <c r="F2" i="1"/>
  <c r="E97" i="8" l="1"/>
  <c r="M97" i="8"/>
  <c r="AK97" i="8"/>
  <c r="AK98" i="8" s="1"/>
  <c r="AS97" i="8"/>
  <c r="AS98" i="8" s="1"/>
  <c r="BA97" i="8"/>
  <c r="BA98" i="8" s="1"/>
  <c r="BI97" i="8"/>
  <c r="BI98" i="8" s="1"/>
  <c r="BQ97" i="8"/>
  <c r="BQ98" i="8" s="1"/>
  <c r="BY18" i="8"/>
  <c r="E17" i="1"/>
  <c r="D15" i="1"/>
  <c r="H97" i="8"/>
  <c r="H98" i="8" s="1"/>
  <c r="BD97" i="8"/>
  <c r="J97" i="8"/>
  <c r="R97" i="8"/>
  <c r="R98" i="8" s="1"/>
  <c r="AH97" i="8"/>
  <c r="AH98" i="8" s="1"/>
  <c r="AP97" i="8"/>
  <c r="AP98" i="8" s="1"/>
  <c r="AX97" i="8"/>
  <c r="BF97" i="8"/>
  <c r="BN97" i="8"/>
  <c r="BV97" i="8"/>
  <c r="AJ97" i="8"/>
  <c r="AJ98" i="8" s="1"/>
  <c r="AZ97" i="8"/>
  <c r="AZ98" i="8" s="1"/>
  <c r="BH97" i="8"/>
  <c r="BH98" i="8" s="1"/>
  <c r="BP97" i="8"/>
  <c r="BP98" i="8" s="1"/>
  <c r="F97" i="8"/>
  <c r="N97" i="8"/>
  <c r="N98" i="8" s="1"/>
  <c r="AL97" i="8"/>
  <c r="AL98" i="8" s="1"/>
  <c r="AT97" i="8"/>
  <c r="AT98" i="8" s="1"/>
  <c r="BB97" i="8"/>
  <c r="BB98" i="8" s="1"/>
  <c r="BJ97" i="8"/>
  <c r="BJ98" i="8" s="1"/>
  <c r="BR97" i="8"/>
  <c r="BR98" i="8" s="1"/>
  <c r="U10" i="8"/>
  <c r="G97" i="8"/>
  <c r="G98" i="8" s="1"/>
  <c r="O97" i="8"/>
  <c r="O98" i="8" s="1"/>
  <c r="AM97" i="8"/>
  <c r="AM98" i="8" s="1"/>
  <c r="AU97" i="8"/>
  <c r="AU98" i="8" s="1"/>
  <c r="BC97" i="8"/>
  <c r="BC98" i="8" s="1"/>
  <c r="BS97" i="8"/>
  <c r="BS98" i="8" s="1"/>
  <c r="BY35" i="8"/>
  <c r="BT97" i="8"/>
  <c r="BT98" i="8" s="1"/>
  <c r="BD98" i="8"/>
  <c r="AN97" i="8"/>
  <c r="AN98" i="8" s="1"/>
  <c r="AG97" i="8"/>
  <c r="BE97" i="8"/>
  <c r="BM97" i="8"/>
  <c r="G3" i="7"/>
  <c r="F3" i="7"/>
  <c r="E3" i="7"/>
  <c r="N3" i="7"/>
  <c r="F6" i="3"/>
  <c r="F4" i="3"/>
  <c r="F8" i="3"/>
  <c r="F9" i="3"/>
  <c r="F10" i="3"/>
  <c r="AN147" i="7"/>
  <c r="AV147" i="7"/>
  <c r="BZ5" i="8"/>
  <c r="L97" i="8"/>
  <c r="L98" i="8" s="1"/>
  <c r="P97" i="8"/>
  <c r="P98" i="8" s="1"/>
  <c r="Q97" i="8"/>
  <c r="Q98" i="8" s="1"/>
  <c r="AR97" i="8"/>
  <c r="AR98" i="8" s="1"/>
  <c r="AV97" i="8"/>
  <c r="AV98" i="8" s="1"/>
  <c r="AW97" i="8"/>
  <c r="AW98" i="8" s="1"/>
  <c r="BK97" i="8"/>
  <c r="BK98" i="8" s="1"/>
  <c r="BX97" i="8"/>
  <c r="BX98" i="8" s="1"/>
  <c r="AF97" i="8"/>
  <c r="AF98" i="8" s="1"/>
  <c r="BL97" i="8"/>
  <c r="I97" i="8"/>
  <c r="AO97" i="8"/>
  <c r="AO98" i="8" s="1"/>
  <c r="BU97" i="8"/>
  <c r="H103" i="8"/>
  <c r="H117" i="8"/>
  <c r="P142" i="8"/>
  <c r="P147" i="8" s="1"/>
  <c r="P117" i="8"/>
  <c r="U117" i="8"/>
  <c r="U142" i="8"/>
  <c r="U147" i="8" s="1"/>
  <c r="W142" i="8"/>
  <c r="W147" i="8" s="1"/>
  <c r="W117" i="8"/>
  <c r="X142" i="8"/>
  <c r="X147" i="8" s="1"/>
  <c r="X117" i="8"/>
  <c r="AF103" i="8"/>
  <c r="AF117" i="8"/>
  <c r="AN103" i="8"/>
  <c r="AN117" i="8"/>
  <c r="AV103" i="8"/>
  <c r="AV117" i="8"/>
  <c r="BD103" i="8"/>
  <c r="BD117" i="8"/>
  <c r="BL103" i="8"/>
  <c r="BL117" i="8"/>
  <c r="BT103" i="8"/>
  <c r="BT117" i="8"/>
  <c r="J117" i="8"/>
  <c r="Z117" i="8"/>
  <c r="I131" i="8"/>
  <c r="Q131" i="8"/>
  <c r="Y131" i="8"/>
  <c r="AG131" i="8"/>
  <c r="BE131" i="8"/>
  <c r="E68" i="12"/>
  <c r="E72" i="12" s="1"/>
  <c r="E73" i="12" s="1"/>
  <c r="F36" i="6"/>
  <c r="D135" i="7"/>
  <c r="J103" i="7"/>
  <c r="Z103" i="7"/>
  <c r="BY86" i="7"/>
  <c r="R131" i="7"/>
  <c r="J131" i="7"/>
  <c r="Z10" i="7"/>
  <c r="AH54" i="7"/>
  <c r="H131" i="7"/>
  <c r="G147" i="7"/>
  <c r="O147" i="7"/>
  <c r="W147" i="7"/>
  <c r="AQ147" i="7"/>
  <c r="BO147" i="7"/>
  <c r="AA147" i="7"/>
  <c r="R103" i="7"/>
  <c r="BE103" i="7"/>
  <c r="BM103" i="7"/>
  <c r="S103" i="7"/>
  <c r="M131" i="7"/>
  <c r="AP131" i="7"/>
  <c r="Y54" i="7"/>
  <c r="O131" i="7"/>
  <c r="N131" i="7"/>
  <c r="F131" i="7"/>
  <c r="D134" i="7"/>
  <c r="AI91" i="7"/>
  <c r="AI126" i="7" s="1"/>
  <c r="I131" i="7"/>
  <c r="Q131" i="7"/>
  <c r="V131" i="7"/>
  <c r="C48" i="5"/>
  <c r="N27" i="5"/>
  <c r="F29" i="5"/>
  <c r="F37" i="5" s="1"/>
  <c r="AA33" i="7" s="1"/>
  <c r="Y33" i="7"/>
  <c r="L131" i="7"/>
  <c r="BU103" i="7"/>
  <c r="AO103" i="7"/>
  <c r="H103" i="7"/>
  <c r="AA131" i="7"/>
  <c r="AR131" i="7"/>
  <c r="AZ131" i="7"/>
  <c r="BH131" i="7"/>
  <c r="BP131" i="7"/>
  <c r="AS131" i="7"/>
  <c r="BA131" i="7"/>
  <c r="BI131" i="7"/>
  <c r="BQ131" i="7"/>
  <c r="AD97" i="8"/>
  <c r="BY28" i="8"/>
  <c r="AE97" i="8"/>
  <c r="BY29" i="7"/>
  <c r="N15" i="13"/>
  <c r="J19" i="5"/>
  <c r="G16" i="6"/>
  <c r="BU117" i="7"/>
  <c r="X103" i="7"/>
  <c r="F147" i="7"/>
  <c r="AG103" i="7"/>
  <c r="I103" i="7"/>
  <c r="Q103" i="7"/>
  <c r="Y103" i="7"/>
  <c r="AP103" i="7"/>
  <c r="L103" i="7"/>
  <c r="T103" i="7"/>
  <c r="AB103" i="7"/>
  <c r="BR103" i="7"/>
  <c r="N117" i="7"/>
  <c r="BO97" i="7"/>
  <c r="BO98" i="7" s="1"/>
  <c r="AG10" i="7"/>
  <c r="AQ97" i="7"/>
  <c r="AQ98" i="7" s="1"/>
  <c r="AF10" i="7"/>
  <c r="P131" i="7"/>
  <c r="BY36" i="7"/>
  <c r="AR97" i="7"/>
  <c r="AR98" i="7" s="1"/>
  <c r="AZ97" i="7"/>
  <c r="AZ98" i="7" s="1"/>
  <c r="BH97" i="7"/>
  <c r="BH98" i="7" s="1"/>
  <c r="BP97" i="7"/>
  <c r="BP98" i="7" s="1"/>
  <c r="BX97" i="7"/>
  <c r="BX98" i="7" s="1"/>
  <c r="N147" i="7"/>
  <c r="V147" i="7"/>
  <c r="AD147" i="7"/>
  <c r="AP147" i="7"/>
  <c r="AX147" i="7"/>
  <c r="BF147" i="7"/>
  <c r="BN147" i="7"/>
  <c r="BV147" i="7"/>
  <c r="G131" i="7"/>
  <c r="AO131" i="7"/>
  <c r="AB10" i="7"/>
  <c r="Y131" i="7"/>
  <c r="AX131" i="7"/>
  <c r="BF131" i="7"/>
  <c r="BN131" i="7"/>
  <c r="BV131" i="7"/>
  <c r="AD10" i="7"/>
  <c r="AA54" i="7"/>
  <c r="Z131" i="7"/>
  <c r="AH131" i="7"/>
  <c r="AQ131" i="7"/>
  <c r="BG131" i="7"/>
  <c r="BO131" i="7"/>
  <c r="T164" i="7"/>
  <c r="Z147" i="7"/>
  <c r="E164" i="7"/>
  <c r="E165" i="7" s="1"/>
  <c r="M164" i="7"/>
  <c r="U164" i="7"/>
  <c r="AW164" i="7"/>
  <c r="AW131" i="7"/>
  <c r="F164" i="7"/>
  <c r="N164" i="7"/>
  <c r="V164" i="7"/>
  <c r="AX164" i="7"/>
  <c r="BF164" i="7"/>
  <c r="AB147" i="7"/>
  <c r="H16" i="6"/>
  <c r="E97" i="7"/>
  <c r="E98" i="7" s="1"/>
  <c r="E99" i="7" s="1"/>
  <c r="BS97" i="7"/>
  <c r="BS98" i="7" s="1"/>
  <c r="M97" i="7"/>
  <c r="M98" i="7" s="1"/>
  <c r="AM97" i="7"/>
  <c r="AU97" i="7"/>
  <c r="AU98" i="7" s="1"/>
  <c r="BK97" i="7"/>
  <c r="BK98" i="7" s="1"/>
  <c r="AY97" i="7"/>
  <c r="AY98" i="7" s="1"/>
  <c r="BC97" i="7"/>
  <c r="BC98" i="7" s="1"/>
  <c r="AK103" i="7"/>
  <c r="AL103" i="7"/>
  <c r="AT103" i="7"/>
  <c r="BN103" i="7"/>
  <c r="BV103" i="7"/>
  <c r="J164" i="7"/>
  <c r="R164" i="7"/>
  <c r="Z164" i="7"/>
  <c r="AL164" i="7"/>
  <c r="AT164" i="7"/>
  <c r="BB164" i="7"/>
  <c r="BJ164" i="7"/>
  <c r="BR164" i="7"/>
  <c r="AH103" i="7"/>
  <c r="AL117" i="7"/>
  <c r="AG131" i="7"/>
  <c r="J147" i="7"/>
  <c r="R147" i="7"/>
  <c r="AL147" i="7"/>
  <c r="AT147" i="7"/>
  <c r="BB147" i="7"/>
  <c r="BJ147" i="7"/>
  <c r="BR147" i="7"/>
  <c r="AI103" i="7"/>
  <c r="AY131" i="7"/>
  <c r="BW131" i="7"/>
  <c r="S147" i="7"/>
  <c r="AM147" i="7"/>
  <c r="BS147" i="7"/>
  <c r="AF103" i="7"/>
  <c r="U103" i="7"/>
  <c r="AC117" i="7"/>
  <c r="N103" i="7"/>
  <c r="AE103" i="7"/>
  <c r="AM117" i="7"/>
  <c r="AU117" i="7"/>
  <c r="BB103" i="7"/>
  <c r="U117" i="7"/>
  <c r="K131" i="7"/>
  <c r="S131" i="7"/>
  <c r="U147" i="7"/>
  <c r="AO147" i="7"/>
  <c r="AW147" i="7"/>
  <c r="BE147" i="7"/>
  <c r="AC164" i="7"/>
  <c r="AO164" i="7"/>
  <c r="BU164" i="7"/>
  <c r="AW103" i="7"/>
  <c r="AD103" i="7"/>
  <c r="AD117" i="7"/>
  <c r="P103" i="7"/>
  <c r="BF103" i="7"/>
  <c r="I117" i="7"/>
  <c r="Y117" i="7"/>
  <c r="AO117" i="7"/>
  <c r="BE117" i="7"/>
  <c r="BM117" i="7"/>
  <c r="T131" i="7"/>
  <c r="AD164" i="7"/>
  <c r="AP164" i="7"/>
  <c r="AC103" i="7"/>
  <c r="AT117" i="7"/>
  <c r="W103" i="7"/>
  <c r="AO97" i="7"/>
  <c r="AO98" i="7" s="1"/>
  <c r="AW97" i="7"/>
  <c r="AW98" i="7" s="1"/>
  <c r="BE97" i="7"/>
  <c r="BE98" i="7" s="1"/>
  <c r="BM97" i="7"/>
  <c r="BM98" i="7" s="1"/>
  <c r="BU97" i="7"/>
  <c r="BU98" i="7" s="1"/>
  <c r="BI103" i="7"/>
  <c r="J117" i="7"/>
  <c r="Z117" i="7"/>
  <c r="AP117" i="7"/>
  <c r="BF117" i="7"/>
  <c r="BN117" i="7"/>
  <c r="E131" i="7"/>
  <c r="E132" i="7" s="1"/>
  <c r="U131" i="7"/>
  <c r="AE147" i="7"/>
  <c r="AY147" i="7"/>
  <c r="BG147" i="7"/>
  <c r="BW147" i="7"/>
  <c r="W164" i="7"/>
  <c r="AE164" i="7"/>
  <c r="AQ164" i="7"/>
  <c r="AY164" i="7"/>
  <c r="BG164" i="7"/>
  <c r="V103" i="7"/>
  <c r="AX103" i="7"/>
  <c r="O103" i="7"/>
  <c r="BC117" i="7"/>
  <c r="AP97" i="7"/>
  <c r="AP98" i="7" s="1"/>
  <c r="AX97" i="7"/>
  <c r="AX98" i="7" s="1"/>
  <c r="BF97" i="7"/>
  <c r="BF98" i="7" s="1"/>
  <c r="BN97" i="7"/>
  <c r="BN98" i="7" s="1"/>
  <c r="BV97" i="7"/>
  <c r="BV98" i="7" s="1"/>
  <c r="BJ103" i="7"/>
  <c r="BO103" i="7"/>
  <c r="BW103" i="7"/>
  <c r="AK117" i="7"/>
  <c r="AE131" i="7"/>
  <c r="H147" i="7"/>
  <c r="P147" i="7"/>
  <c r="BP147" i="7"/>
  <c r="H164" i="7"/>
  <c r="X164" i="7"/>
  <c r="AF164" i="7"/>
  <c r="AR164" i="7"/>
  <c r="AZ164" i="7"/>
  <c r="BH164" i="7"/>
  <c r="BP164" i="7"/>
  <c r="CB6" i="7"/>
  <c r="CB50" i="7" s="1"/>
  <c r="BZ5" i="7"/>
  <c r="AJ126" i="7"/>
  <c r="BK117" i="7"/>
  <c r="BS117" i="7"/>
  <c r="AK131" i="7"/>
  <c r="AF117" i="7"/>
  <c r="AB131" i="7"/>
  <c r="BB131" i="7"/>
  <c r="AD131" i="7"/>
  <c r="AM131" i="7"/>
  <c r="AU131" i="7"/>
  <c r="BC131" i="7"/>
  <c r="BK131" i="7"/>
  <c r="BS131" i="7"/>
  <c r="X147" i="7"/>
  <c r="AF147" i="7"/>
  <c r="AR147" i="7"/>
  <c r="AZ147" i="7"/>
  <c r="BH147" i="7"/>
  <c r="X10" i="7"/>
  <c r="W131" i="7"/>
  <c r="AN131" i="7"/>
  <c r="AV131" i="7"/>
  <c r="BD131" i="7"/>
  <c r="BL131" i="7"/>
  <c r="BT131" i="7"/>
  <c r="I147" i="7"/>
  <c r="Q147" i="7"/>
  <c r="Y147" i="7"/>
  <c r="AK147" i="7"/>
  <c r="AK148" i="7" s="1"/>
  <c r="AS147" i="7"/>
  <c r="BA147" i="7"/>
  <c r="BI147" i="7"/>
  <c r="BQ147" i="7"/>
  <c r="AT131" i="7"/>
  <c r="BJ131" i="7"/>
  <c r="X131" i="7"/>
  <c r="AF131" i="7"/>
  <c r="BE131" i="7"/>
  <c r="BM131" i="7"/>
  <c r="BU131" i="7"/>
  <c r="K164" i="7"/>
  <c r="S164" i="7"/>
  <c r="AA164" i="7"/>
  <c r="AM164" i="7"/>
  <c r="AU164" i="7"/>
  <c r="BC164" i="7"/>
  <c r="BS164" i="7"/>
  <c r="AC131" i="7"/>
  <c r="AL131" i="7"/>
  <c r="BR131" i="7"/>
  <c r="K147" i="7"/>
  <c r="AU147" i="7"/>
  <c r="BC147" i="7"/>
  <c r="BK147" i="7"/>
  <c r="L164" i="7"/>
  <c r="AB164" i="7"/>
  <c r="BD164" i="7"/>
  <c r="L97" i="7"/>
  <c r="L98" i="7" s="1"/>
  <c r="T97" i="7"/>
  <c r="T98" i="7" s="1"/>
  <c r="S15" i="7"/>
  <c r="S17" i="7" s="1"/>
  <c r="I97" i="7"/>
  <c r="I98" i="7" s="1"/>
  <c r="K97" i="7"/>
  <c r="K98" i="7" s="1"/>
  <c r="H97" i="7"/>
  <c r="H98" i="7" s="1"/>
  <c r="P97" i="7"/>
  <c r="P98" i="7" s="1"/>
  <c r="Q97" i="7"/>
  <c r="Q98" i="7" s="1"/>
  <c r="AN97" i="7"/>
  <c r="AN98" i="7" s="1"/>
  <c r="AV97" i="7"/>
  <c r="AV98" i="7" s="1"/>
  <c r="BD97" i="7"/>
  <c r="BD98" i="7" s="1"/>
  <c r="BL97" i="7"/>
  <c r="BL98" i="7" s="1"/>
  <c r="BT97" i="7"/>
  <c r="BT98" i="7" s="1"/>
  <c r="BG97" i="7"/>
  <c r="BG98" i="7" s="1"/>
  <c r="AK97" i="7"/>
  <c r="AK98" i="7" s="1"/>
  <c r="AS97" i="7"/>
  <c r="AS98" i="7" s="1"/>
  <c r="BA97" i="7"/>
  <c r="BA98" i="7" s="1"/>
  <c r="BI97" i="7"/>
  <c r="BI98" i="7" s="1"/>
  <c r="BQ97" i="7"/>
  <c r="BQ98" i="7" s="1"/>
  <c r="G97" i="7"/>
  <c r="G98" i="7" s="1"/>
  <c r="O97" i="7"/>
  <c r="O98" i="7" s="1"/>
  <c r="BW97" i="7"/>
  <c r="BW98" i="7" s="1"/>
  <c r="C7" i="3"/>
  <c r="F7" i="3" s="1"/>
  <c r="C3" i="3"/>
  <c r="F3" i="3" s="1"/>
  <c r="C5" i="3"/>
  <c r="F5" i="3" s="1"/>
  <c r="V21" i="7"/>
  <c r="BY21" i="7" s="1"/>
  <c r="I9" i="6"/>
  <c r="H94" i="6" s="1"/>
  <c r="L8" i="13"/>
  <c r="L8" i="5"/>
  <c r="I3" i="7"/>
  <c r="L3" i="7"/>
  <c r="G2" i="1"/>
  <c r="L16" i="13"/>
  <c r="N16" i="13" s="1"/>
  <c r="L16" i="5"/>
  <c r="AA32" i="8"/>
  <c r="I18" i="6"/>
  <c r="I17" i="6" s="1"/>
  <c r="I19" i="6" s="1"/>
  <c r="L12" i="13"/>
  <c r="N12" i="13" s="1"/>
  <c r="J10" i="13"/>
  <c r="J17" i="13" s="1"/>
  <c r="D17" i="1"/>
  <c r="C14" i="5"/>
  <c r="L13" i="5"/>
  <c r="AC52" i="8"/>
  <c r="U52" i="8"/>
  <c r="AB52" i="8"/>
  <c r="T52" i="8"/>
  <c r="AA52" i="8"/>
  <c r="S52" i="8"/>
  <c r="Z52" i="8"/>
  <c r="Y52" i="8"/>
  <c r="X52" i="8"/>
  <c r="W52" i="8"/>
  <c r="V52" i="8"/>
  <c r="AC52" i="7"/>
  <c r="AC48" i="7" s="1"/>
  <c r="AJ48" i="7"/>
  <c r="AB52" i="7"/>
  <c r="AB48" i="7" s="1"/>
  <c r="AI52" i="7"/>
  <c r="AI48" i="7" s="1"/>
  <c r="AA52" i="7"/>
  <c r="AA48" i="7" s="1"/>
  <c r="AG52" i="7"/>
  <c r="AG48" i="7" s="1"/>
  <c r="Y52" i="7"/>
  <c r="Y48" i="7" s="1"/>
  <c r="AH52" i="7"/>
  <c r="AH48" i="7" s="1"/>
  <c r="AF52" i="7"/>
  <c r="AF48" i="7" s="1"/>
  <c r="AE52" i="7"/>
  <c r="AE48" i="7" s="1"/>
  <c r="AD52" i="7"/>
  <c r="AD48" i="7" s="1"/>
  <c r="Z52" i="7"/>
  <c r="X52" i="7"/>
  <c r="W52" i="7"/>
  <c r="W48" i="7" s="1"/>
  <c r="V52" i="7"/>
  <c r="M3" i="7"/>
  <c r="BN3" i="7"/>
  <c r="L11" i="13"/>
  <c r="N11" i="13" s="1"/>
  <c r="G5" i="1"/>
  <c r="L9" i="13"/>
  <c r="N9" i="13" s="1"/>
  <c r="L9" i="5"/>
  <c r="L10" i="13"/>
  <c r="L10" i="5"/>
  <c r="P3" i="7"/>
  <c r="H3" i="7"/>
  <c r="O3" i="7"/>
  <c r="V3" i="7"/>
  <c r="U3" i="7"/>
  <c r="T3" i="7"/>
  <c r="G3" i="3"/>
  <c r="D1" i="3" s="1"/>
  <c r="G3" i="1"/>
  <c r="G4" i="1"/>
  <c r="G12" i="1"/>
  <c r="L12" i="5"/>
  <c r="AB3" i="7"/>
  <c r="AJ3" i="7"/>
  <c r="AR3" i="7"/>
  <c r="AZ3" i="7"/>
  <c r="BH3" i="7"/>
  <c r="BR3" i="7"/>
  <c r="AY103" i="7"/>
  <c r="E147" i="7"/>
  <c r="E148" i="7" s="1"/>
  <c r="F148" i="7" s="1"/>
  <c r="M147" i="7"/>
  <c r="BM147" i="7"/>
  <c r="BU147" i="7"/>
  <c r="AK3" i="7"/>
  <c r="AS3" i="7"/>
  <c r="BA3" i="7"/>
  <c r="BI3" i="7"/>
  <c r="BV3" i="7"/>
  <c r="AD3" i="7"/>
  <c r="AL3" i="7"/>
  <c r="AT3" i="7"/>
  <c r="BB3" i="7"/>
  <c r="BJ3" i="7"/>
  <c r="BW3" i="7"/>
  <c r="BY61" i="7"/>
  <c r="AJ117" i="7"/>
  <c r="AJ103" i="7"/>
  <c r="AR117" i="7"/>
  <c r="AR103" i="7"/>
  <c r="AZ103" i="7"/>
  <c r="AZ117" i="7"/>
  <c r="BH103" i="7"/>
  <c r="BH117" i="7"/>
  <c r="BP103" i="7"/>
  <c r="BP117" i="7"/>
  <c r="BK103" i="7"/>
  <c r="BK164" i="7"/>
  <c r="W3" i="7"/>
  <c r="AE3" i="7"/>
  <c r="AM3" i="7"/>
  <c r="AU3" i="7"/>
  <c r="BC3" i="7"/>
  <c r="BK3" i="7"/>
  <c r="BX3" i="7"/>
  <c r="J97" i="7"/>
  <c r="J98" i="7" s="1"/>
  <c r="R97" i="7"/>
  <c r="R98" i="7" s="1"/>
  <c r="BG103" i="7"/>
  <c r="D119" i="7"/>
  <c r="D120" i="7" s="1"/>
  <c r="E117" i="7"/>
  <c r="E103" i="7"/>
  <c r="M103" i="7"/>
  <c r="M117" i="7"/>
  <c r="AS117" i="7"/>
  <c r="AS103" i="7"/>
  <c r="BA117" i="7"/>
  <c r="BA103" i="7"/>
  <c r="T117" i="7"/>
  <c r="AN164" i="7"/>
  <c r="AN103" i="7"/>
  <c r="AV103" i="7"/>
  <c r="AV164" i="7"/>
  <c r="BL103" i="7"/>
  <c r="BL164" i="7"/>
  <c r="BT103" i="7"/>
  <c r="BT164" i="7"/>
  <c r="X3" i="7"/>
  <c r="AF3" i="7"/>
  <c r="AN3" i="7"/>
  <c r="AV3" i="7"/>
  <c r="BD3" i="7"/>
  <c r="BM3" i="7"/>
  <c r="AE54" i="7"/>
  <c r="AE10" i="7"/>
  <c r="AC152" i="7"/>
  <c r="AC147" i="7"/>
  <c r="Q3" i="7"/>
  <c r="Y3" i="7"/>
  <c r="AG3" i="7"/>
  <c r="AO3" i="7"/>
  <c r="AW3" i="7"/>
  <c r="BE3" i="7"/>
  <c r="AC10" i="7"/>
  <c r="S97" i="7"/>
  <c r="AQ103" i="7"/>
  <c r="AM103" i="7"/>
  <c r="AU103" i="7"/>
  <c r="BC103" i="7"/>
  <c r="BW117" i="7"/>
  <c r="M9" i="5"/>
  <c r="M18" i="5"/>
  <c r="BV3" i="8"/>
  <c r="BU3" i="8"/>
  <c r="BT3" i="8"/>
  <c r="BS3" i="8"/>
  <c r="BR3" i="8"/>
  <c r="BQ3" i="8"/>
  <c r="BX3" i="8"/>
  <c r="BP3" i="8"/>
  <c r="BW3" i="8"/>
  <c r="BK3" i="8"/>
  <c r="BC3" i="8"/>
  <c r="AU3" i="8"/>
  <c r="AM3" i="8"/>
  <c r="AE3" i="8"/>
  <c r="W3" i="8"/>
  <c r="O3" i="8"/>
  <c r="G3" i="8"/>
  <c r="BJ3" i="8"/>
  <c r="BB3" i="8"/>
  <c r="AT3" i="8"/>
  <c r="AL3" i="8"/>
  <c r="AD3" i="8"/>
  <c r="V3" i="8"/>
  <c r="N3" i="8"/>
  <c r="F3" i="8"/>
  <c r="BI3" i="8"/>
  <c r="BA3" i="8"/>
  <c r="AS3" i="8"/>
  <c r="AK3" i="8"/>
  <c r="AC3" i="8"/>
  <c r="U3" i="8"/>
  <c r="M3" i="8"/>
  <c r="E3" i="8"/>
  <c r="BH3" i="8"/>
  <c r="AZ3" i="8"/>
  <c r="AR3" i="8"/>
  <c r="AJ3" i="8"/>
  <c r="AB3" i="8"/>
  <c r="BO3" i="8"/>
  <c r="BG3" i="8"/>
  <c r="AY3" i="8"/>
  <c r="AQ3" i="8"/>
  <c r="AI3" i="8"/>
  <c r="AA3" i="8"/>
  <c r="S3" i="8"/>
  <c r="K3" i="8"/>
  <c r="BN3" i="8"/>
  <c r="BF3" i="8"/>
  <c r="AX3" i="8"/>
  <c r="AP3" i="8"/>
  <c r="BM3" i="8"/>
  <c r="BE3" i="8"/>
  <c r="AW3" i="8"/>
  <c r="AO3" i="8"/>
  <c r="AG3" i="8"/>
  <c r="BL3" i="8"/>
  <c r="BD3" i="8"/>
  <c r="AV3" i="8"/>
  <c r="AN3" i="8"/>
  <c r="AF3" i="8"/>
  <c r="T3" i="8"/>
  <c r="BU3" i="7"/>
  <c r="R3" i="8"/>
  <c r="BT3" i="7"/>
  <c r="BL3" i="7"/>
  <c r="Q3" i="8"/>
  <c r="BS3" i="7"/>
  <c r="P3" i="8"/>
  <c r="AH3" i="8"/>
  <c r="L3" i="8"/>
  <c r="BQ3" i="7"/>
  <c r="Z3" i="8"/>
  <c r="J3" i="8"/>
  <c r="Y3" i="8"/>
  <c r="I3" i="8"/>
  <c r="X3" i="8"/>
  <c r="H3" i="8"/>
  <c r="J3" i="7"/>
  <c r="R3" i="7"/>
  <c r="Z3" i="7"/>
  <c r="AH3" i="7"/>
  <c r="AP3" i="7"/>
  <c r="AX3" i="7"/>
  <c r="BF3" i="7"/>
  <c r="BO3" i="7"/>
  <c r="AM98" i="7"/>
  <c r="AL97" i="7"/>
  <c r="AL98" i="7" s="1"/>
  <c r="AT97" i="7"/>
  <c r="AT98" i="7" s="1"/>
  <c r="BB97" i="7"/>
  <c r="BB98" i="7" s="1"/>
  <c r="BJ97" i="7"/>
  <c r="BJ98" i="7" s="1"/>
  <c r="BR97" i="7"/>
  <c r="BR98" i="7" s="1"/>
  <c r="U15" i="7"/>
  <c r="V14" i="7" s="1"/>
  <c r="U18" i="7"/>
  <c r="U97" i="7" s="1"/>
  <c r="BY26" i="7"/>
  <c r="BY25" i="7" s="1"/>
  <c r="K103" i="7"/>
  <c r="AA103" i="7"/>
  <c r="G164" i="7"/>
  <c r="O164" i="7"/>
  <c r="BO164" i="7"/>
  <c r="BW164" i="7"/>
  <c r="K3" i="7"/>
  <c r="S3" i="7"/>
  <c r="AA3" i="7"/>
  <c r="AI3" i="7"/>
  <c r="AQ3" i="7"/>
  <c r="AY3" i="7"/>
  <c r="BG3" i="7"/>
  <c r="BP3" i="7"/>
  <c r="F97" i="7"/>
  <c r="F98" i="7" s="1"/>
  <c r="N97" i="7"/>
  <c r="N98" i="7" s="1"/>
  <c r="BQ103" i="7"/>
  <c r="L117" i="7"/>
  <c r="AB117" i="7"/>
  <c r="D136" i="7"/>
  <c r="L147" i="7"/>
  <c r="T147" i="7"/>
  <c r="BD147" i="7"/>
  <c r="BL147" i="7"/>
  <c r="BT147" i="7"/>
  <c r="P164" i="7"/>
  <c r="BS103" i="7"/>
  <c r="V117" i="7"/>
  <c r="AE117" i="7"/>
  <c r="W117" i="7"/>
  <c r="F103" i="7"/>
  <c r="O117" i="7"/>
  <c r="BM164" i="7"/>
  <c r="BV164" i="7"/>
  <c r="G103" i="7"/>
  <c r="BD103" i="7"/>
  <c r="BE164" i="7"/>
  <c r="BN164" i="7"/>
  <c r="I164" i="7"/>
  <c r="Q164" i="7"/>
  <c r="Y164" i="7"/>
  <c r="AK164" i="7"/>
  <c r="AK165" i="7" s="1"/>
  <c r="AS164" i="7"/>
  <c r="BA164" i="7"/>
  <c r="BI164" i="7"/>
  <c r="BQ164" i="7"/>
  <c r="BL98" i="8"/>
  <c r="CB5" i="8"/>
  <c r="E98" i="8"/>
  <c r="E99" i="8" s="1"/>
  <c r="M98" i="8"/>
  <c r="F98" i="8"/>
  <c r="F99" i="8" s="1"/>
  <c r="Y61" i="8"/>
  <c r="AC91" i="8"/>
  <c r="E117" i="8"/>
  <c r="C8" i="9" a="1"/>
  <c r="AG117" i="8"/>
  <c r="BF117" i="8"/>
  <c r="CB7" i="8"/>
  <c r="CB51" i="8" s="1"/>
  <c r="K97" i="8"/>
  <c r="K98" i="8" s="1"/>
  <c r="AI97" i="8"/>
  <c r="AI98" i="8" s="1"/>
  <c r="AQ97" i="8"/>
  <c r="AQ98" i="8" s="1"/>
  <c r="AY97" i="8"/>
  <c r="AY98" i="8" s="1"/>
  <c r="BG97" i="8"/>
  <c r="BG98" i="8" s="1"/>
  <c r="BO97" i="8"/>
  <c r="BO98" i="8" s="1"/>
  <c r="BW97" i="8"/>
  <c r="BW98" i="8" s="1"/>
  <c r="Z61" i="8"/>
  <c r="E103" i="8"/>
  <c r="I117" i="8"/>
  <c r="AH117" i="8"/>
  <c r="BU117" i="8"/>
  <c r="BY90" i="8"/>
  <c r="AC111" i="8"/>
  <c r="D119" i="8" s="1"/>
  <c r="D120" i="8" s="1"/>
  <c r="BY11" i="8"/>
  <c r="AC96" i="8" s="1"/>
  <c r="BY96" i="8" s="1"/>
  <c r="BY86" i="8"/>
  <c r="AW117" i="8"/>
  <c r="BV117" i="8"/>
  <c r="L147" i="8"/>
  <c r="L148" i="8" s="1"/>
  <c r="M148" i="8" s="1"/>
  <c r="Z142" i="8"/>
  <c r="Z147" i="8" s="1"/>
  <c r="AB61" i="8"/>
  <c r="AA61" i="8"/>
  <c r="AX117" i="8"/>
  <c r="AA142" i="8"/>
  <c r="AA147" i="8" s="1"/>
  <c r="Q103" i="8"/>
  <c r="Q142" i="8"/>
  <c r="Q147" i="8" s="1"/>
  <c r="Y103" i="8"/>
  <c r="Y142" i="8"/>
  <c r="Y147" i="8" s="1"/>
  <c r="BM117" i="8"/>
  <c r="I98" i="8"/>
  <c r="AG98" i="8"/>
  <c r="BE98" i="8"/>
  <c r="BM98" i="8"/>
  <c r="BU98" i="8"/>
  <c r="V61" i="8"/>
  <c r="J103" i="8"/>
  <c r="AI117" i="8"/>
  <c r="AQ117" i="8"/>
  <c r="AY117" i="8"/>
  <c r="BG117" i="8"/>
  <c r="BO117" i="8"/>
  <c r="BW117" i="8"/>
  <c r="AO117" i="8"/>
  <c r="BN117" i="8"/>
  <c r="H165" i="8"/>
  <c r="I165" i="8" s="1"/>
  <c r="J165" i="8" s="1"/>
  <c r="K165" i="8" s="1"/>
  <c r="L165" i="8" s="1"/>
  <c r="M165" i="8" s="1"/>
  <c r="N165" i="8" s="1"/>
  <c r="O165" i="8" s="1"/>
  <c r="P165" i="8" s="1"/>
  <c r="Q165" i="8" s="1"/>
  <c r="R165" i="8" s="1"/>
  <c r="S165" i="8" s="1"/>
  <c r="T165" i="8" s="1"/>
  <c r="U165" i="8" s="1"/>
  <c r="V165" i="8" s="1"/>
  <c r="W165" i="8" s="1"/>
  <c r="X165" i="8" s="1"/>
  <c r="Y165" i="8" s="1"/>
  <c r="Z165" i="8" s="1"/>
  <c r="AA165" i="8" s="1"/>
  <c r="AB165" i="8" s="1"/>
  <c r="AC165" i="8" s="1"/>
  <c r="AD165" i="8" s="1"/>
  <c r="AE165" i="8" s="1"/>
  <c r="AF165" i="8" s="1"/>
  <c r="AG165" i="8" s="1"/>
  <c r="AH165" i="8" s="1"/>
  <c r="AI165" i="8" s="1"/>
  <c r="AJ165" i="8" s="1"/>
  <c r="AK165" i="8" s="1"/>
  <c r="AL165" i="8" s="1"/>
  <c r="AM165" i="8" s="1"/>
  <c r="AN165" i="8" s="1"/>
  <c r="AO165" i="8" s="1"/>
  <c r="AP165" i="8" s="1"/>
  <c r="AQ165" i="8" s="1"/>
  <c r="AR165" i="8" s="1"/>
  <c r="AS165" i="8" s="1"/>
  <c r="AT165" i="8" s="1"/>
  <c r="AU165" i="8" s="1"/>
  <c r="AV165" i="8" s="1"/>
  <c r="AW165" i="8" s="1"/>
  <c r="AX165" i="8" s="1"/>
  <c r="AY165" i="8" s="1"/>
  <c r="AZ165" i="8" s="1"/>
  <c r="BA165" i="8" s="1"/>
  <c r="BB165" i="8" s="1"/>
  <c r="BC165" i="8" s="1"/>
  <c r="BD165" i="8" s="1"/>
  <c r="BE165" i="8" s="1"/>
  <c r="BF165" i="8" s="1"/>
  <c r="BG165" i="8" s="1"/>
  <c r="BH165" i="8" s="1"/>
  <c r="BI165" i="8" s="1"/>
  <c r="BJ165" i="8" s="1"/>
  <c r="BK165" i="8" s="1"/>
  <c r="BL165" i="8" s="1"/>
  <c r="BM165" i="8" s="1"/>
  <c r="BN165" i="8" s="1"/>
  <c r="BO165" i="8" s="1"/>
  <c r="BP165" i="8" s="1"/>
  <c r="BQ165" i="8" s="1"/>
  <c r="BR165" i="8" s="1"/>
  <c r="BS165" i="8" s="1"/>
  <c r="BT165" i="8" s="1"/>
  <c r="BU165" i="8" s="1"/>
  <c r="BV165" i="8" s="1"/>
  <c r="BW165" i="8" s="1"/>
  <c r="J98" i="8"/>
  <c r="AX98" i="8"/>
  <c r="BF98" i="8"/>
  <c r="BN98" i="8"/>
  <c r="BV98" i="8"/>
  <c r="W61" i="8"/>
  <c r="AC89" i="8"/>
  <c r="M103" i="8"/>
  <c r="Q117" i="8"/>
  <c r="AP117" i="8"/>
  <c r="E131" i="8"/>
  <c r="R142" i="8"/>
  <c r="R147" i="8" s="1"/>
  <c r="D167" i="8"/>
  <c r="D169" i="8" s="1"/>
  <c r="X61" i="8"/>
  <c r="BO103" i="8"/>
  <c r="L117" i="8"/>
  <c r="T117" i="8"/>
  <c r="AB117" i="8"/>
  <c r="R117" i="8"/>
  <c r="BE117" i="8"/>
  <c r="S142" i="8"/>
  <c r="S147" i="8" s="1"/>
  <c r="V142" i="8"/>
  <c r="V147" i="8" s="1"/>
  <c r="M17" i="13"/>
  <c r="P103" i="8"/>
  <c r="X103" i="8"/>
  <c r="R8" i="9" a="1"/>
  <c r="N13" i="13"/>
  <c r="J68" i="12"/>
  <c r="J72" i="12" s="1"/>
  <c r="J73" i="12" s="1"/>
  <c r="F9" i="13"/>
  <c r="C10" i="13" s="1"/>
  <c r="N23" i="5" l="1"/>
  <c r="AI79" i="7" s="1"/>
  <c r="AI62" i="7" s="1"/>
  <c r="G99" i="8"/>
  <c r="H99" i="8" s="1"/>
  <c r="G148" i="7"/>
  <c r="CB5" i="7"/>
  <c r="F132" i="7"/>
  <c r="CB20" i="7"/>
  <c r="CB63" i="7" s="1"/>
  <c r="M8" i="9" a="1"/>
  <c r="M76" i="9" s="1"/>
  <c r="U32" i="8"/>
  <c r="T32" i="8"/>
  <c r="Z33" i="7"/>
  <c r="AG33" i="7"/>
  <c r="Z32" i="8"/>
  <c r="F39" i="5"/>
  <c r="AA35" i="7" s="1"/>
  <c r="AA28" i="7" s="1"/>
  <c r="S32" i="8"/>
  <c r="S27" i="8" s="1"/>
  <c r="AF33" i="7"/>
  <c r="Y32" i="8"/>
  <c r="AH33" i="7"/>
  <c r="V32" i="8"/>
  <c r="AB32" i="8"/>
  <c r="AE33" i="7"/>
  <c r="W32" i="8"/>
  <c r="AD33" i="7"/>
  <c r="X32" i="8"/>
  <c r="X33" i="7"/>
  <c r="X28" i="7" s="1"/>
  <c r="AC33" i="7"/>
  <c r="AB33" i="7"/>
  <c r="AD35" i="7"/>
  <c r="AE35" i="7"/>
  <c r="F49" i="5"/>
  <c r="E29" i="5"/>
  <c r="I26" i="6"/>
  <c r="M19" i="5"/>
  <c r="G13" i="1"/>
  <c r="BY91" i="7"/>
  <c r="G132" i="7"/>
  <c r="H132" i="7" s="1"/>
  <c r="I132" i="7" s="1"/>
  <c r="J132" i="7" s="1"/>
  <c r="K132" i="7" s="1"/>
  <c r="L132" i="7" s="1"/>
  <c r="M132" i="7" s="1"/>
  <c r="N132" i="7" s="1"/>
  <c r="O132" i="7" s="1"/>
  <c r="P132" i="7" s="1"/>
  <c r="Q132" i="7" s="1"/>
  <c r="R132" i="7" s="1"/>
  <c r="S132" i="7" s="1"/>
  <c r="T132" i="7" s="1"/>
  <c r="U132" i="7" s="1"/>
  <c r="V132" i="7" s="1"/>
  <c r="W132" i="7" s="1"/>
  <c r="X132" i="7" s="1"/>
  <c r="Y132" i="7" s="1"/>
  <c r="Z132" i="7" s="1"/>
  <c r="AA132" i="7" s="1"/>
  <c r="AB132" i="7" s="1"/>
  <c r="AC132" i="7" s="1"/>
  <c r="AD132" i="7" s="1"/>
  <c r="AE132" i="7" s="1"/>
  <c r="AF132" i="7" s="1"/>
  <c r="AG132" i="7" s="1"/>
  <c r="AH132" i="7" s="1"/>
  <c r="AL165" i="7"/>
  <c r="AM165" i="7" s="1"/>
  <c r="AN165" i="7" s="1"/>
  <c r="AO165" i="7" s="1"/>
  <c r="AP165" i="7" s="1"/>
  <c r="AQ165" i="7" s="1"/>
  <c r="AR165" i="7" s="1"/>
  <c r="AS165" i="7" s="1"/>
  <c r="AT165" i="7" s="1"/>
  <c r="AU165" i="7" s="1"/>
  <c r="AV165" i="7" s="1"/>
  <c r="AW165" i="7" s="1"/>
  <c r="AX165" i="7" s="1"/>
  <c r="AY165" i="7" s="1"/>
  <c r="AZ165" i="7" s="1"/>
  <c r="BA165" i="7" s="1"/>
  <c r="BB165" i="7" s="1"/>
  <c r="BC165" i="7" s="1"/>
  <c r="BD165" i="7" s="1"/>
  <c r="BE165" i="7" s="1"/>
  <c r="BF165" i="7" s="1"/>
  <c r="BG165" i="7" s="1"/>
  <c r="BH165" i="7" s="1"/>
  <c r="BI165" i="7" s="1"/>
  <c r="BJ165" i="7" s="1"/>
  <c r="BK165" i="7" s="1"/>
  <c r="BL165" i="7" s="1"/>
  <c r="BM165" i="7" s="1"/>
  <c r="BN165" i="7" s="1"/>
  <c r="BO165" i="7" s="1"/>
  <c r="BP165" i="7" s="1"/>
  <c r="BQ165" i="7" s="1"/>
  <c r="BR165" i="7" s="1"/>
  <c r="BS165" i="7" s="1"/>
  <c r="BT165" i="7" s="1"/>
  <c r="BU165" i="7" s="1"/>
  <c r="BV165" i="7" s="1"/>
  <c r="BW165" i="7" s="1"/>
  <c r="F165" i="7"/>
  <c r="G165" i="7" s="1"/>
  <c r="H165" i="7" s="1"/>
  <c r="I165" i="7" s="1"/>
  <c r="J165" i="7" s="1"/>
  <c r="K165" i="7" s="1"/>
  <c r="L165" i="7" s="1"/>
  <c r="M165" i="7" s="1"/>
  <c r="N165" i="7" s="1"/>
  <c r="O165" i="7" s="1"/>
  <c r="P165" i="7" s="1"/>
  <c r="Q165" i="7" s="1"/>
  <c r="R165" i="7" s="1"/>
  <c r="S165" i="7" s="1"/>
  <c r="T165" i="7" s="1"/>
  <c r="U165" i="7" s="1"/>
  <c r="V165" i="7" s="1"/>
  <c r="W165" i="7" s="1"/>
  <c r="X165" i="7" s="1"/>
  <c r="Y165" i="7" s="1"/>
  <c r="Z165" i="7" s="1"/>
  <c r="AA165" i="7" s="1"/>
  <c r="AB165" i="7" s="1"/>
  <c r="AC165" i="7" s="1"/>
  <c r="AD165" i="7" s="1"/>
  <c r="AE165" i="7" s="1"/>
  <c r="AF165" i="7" s="1"/>
  <c r="CB55" i="7"/>
  <c r="AL148" i="7"/>
  <c r="AM148" i="7" s="1"/>
  <c r="AN148" i="7" s="1"/>
  <c r="AO148" i="7" s="1"/>
  <c r="AP148" i="7" s="1"/>
  <c r="AQ148" i="7" s="1"/>
  <c r="AR148" i="7" s="1"/>
  <c r="AS148" i="7" s="1"/>
  <c r="AT148" i="7" s="1"/>
  <c r="AU148" i="7" s="1"/>
  <c r="AV148" i="7" s="1"/>
  <c r="AW148" i="7" s="1"/>
  <c r="AX148" i="7" s="1"/>
  <c r="AY148" i="7" s="1"/>
  <c r="AZ148" i="7" s="1"/>
  <c r="BA148" i="7" s="1"/>
  <c r="BB148" i="7" s="1"/>
  <c r="BC148" i="7" s="1"/>
  <c r="BD148" i="7" s="1"/>
  <c r="BE148" i="7" s="1"/>
  <c r="BF148" i="7" s="1"/>
  <c r="BG148" i="7" s="1"/>
  <c r="BH148" i="7" s="1"/>
  <c r="BI148" i="7" s="1"/>
  <c r="BJ148" i="7" s="1"/>
  <c r="BK148" i="7" s="1"/>
  <c r="BL148" i="7" s="1"/>
  <c r="BM148" i="7" s="1"/>
  <c r="BN148" i="7" s="1"/>
  <c r="BO148" i="7" s="1"/>
  <c r="BP148" i="7" s="1"/>
  <c r="BQ148" i="7" s="1"/>
  <c r="BR148" i="7" s="1"/>
  <c r="BS148" i="7" s="1"/>
  <c r="BT148" i="7" s="1"/>
  <c r="BU148" i="7" s="1"/>
  <c r="BV148" i="7" s="1"/>
  <c r="BW148" i="7" s="1"/>
  <c r="H148" i="7"/>
  <c r="I148" i="7" s="1"/>
  <c r="J148" i="7" s="1"/>
  <c r="K148" i="7" s="1"/>
  <c r="L148" i="7" s="1"/>
  <c r="M148" i="7" s="1"/>
  <c r="D149" i="7"/>
  <c r="F99" i="7"/>
  <c r="G99" i="7" s="1"/>
  <c r="H99" i="7" s="1"/>
  <c r="I99" i="7" s="1"/>
  <c r="J99" i="7" s="1"/>
  <c r="K99" i="7" s="1"/>
  <c r="L99" i="7" s="1"/>
  <c r="M99" i="7" s="1"/>
  <c r="N99" i="7" s="1"/>
  <c r="O99" i="7" s="1"/>
  <c r="P99" i="7" s="1"/>
  <c r="Q99" i="7" s="1"/>
  <c r="R99" i="7" s="1"/>
  <c r="F15" i="5"/>
  <c r="F42" i="13"/>
  <c r="F39" i="13"/>
  <c r="R28" i="13"/>
  <c r="F43" i="13"/>
  <c r="F11" i="13"/>
  <c r="N22" i="13"/>
  <c r="F15" i="13"/>
  <c r="B16" i="1"/>
  <c r="V54" i="8"/>
  <c r="V10" i="8"/>
  <c r="I99" i="8"/>
  <c r="J99" i="8" s="1"/>
  <c r="K99" i="8" s="1"/>
  <c r="L99" i="8" s="1"/>
  <c r="M99" i="8" s="1"/>
  <c r="N99" i="8" s="1"/>
  <c r="O99" i="8" s="1"/>
  <c r="P99" i="8" s="1"/>
  <c r="Q99" i="8" s="1"/>
  <c r="R99" i="8" s="1"/>
  <c r="CB49" i="8"/>
  <c r="CC5" i="8"/>
  <c r="BY61" i="8"/>
  <c r="U17" i="7"/>
  <c r="U98" i="7" s="1"/>
  <c r="J13" i="1"/>
  <c r="J14" i="1" s="1"/>
  <c r="K3" i="1"/>
  <c r="I42" i="6"/>
  <c r="F75" i="5"/>
  <c r="N14" i="5"/>
  <c r="N15" i="5"/>
  <c r="N17" i="5"/>
  <c r="CB46" i="7"/>
  <c r="CB62" i="7" a="1"/>
  <c r="CB62" i="7" s="1"/>
  <c r="E132" i="8"/>
  <c r="F132" i="8" s="1"/>
  <c r="G132" i="8" s="1"/>
  <c r="H132" i="8" s="1"/>
  <c r="I132" i="8" s="1"/>
  <c r="J132" i="8" s="1"/>
  <c r="K132" i="8" s="1"/>
  <c r="L132" i="8" s="1"/>
  <c r="M132" i="8" s="1"/>
  <c r="N132" i="8" s="1"/>
  <c r="O132" i="8" s="1"/>
  <c r="P132" i="8" s="1"/>
  <c r="Q132" i="8" s="1"/>
  <c r="R132" i="8" s="1"/>
  <c r="S132" i="8" s="1"/>
  <c r="T132" i="8" s="1"/>
  <c r="U132" i="8" s="1"/>
  <c r="V132" i="8" s="1"/>
  <c r="W132" i="8" s="1"/>
  <c r="X132" i="8" s="1"/>
  <c r="Y132" i="8" s="1"/>
  <c r="Z132" i="8" s="1"/>
  <c r="AA132" i="8" s="1"/>
  <c r="AB132" i="8" s="1"/>
  <c r="AA10" i="8"/>
  <c r="AA54" i="8"/>
  <c r="Z10" i="8"/>
  <c r="Z54" i="8"/>
  <c r="N10" i="5"/>
  <c r="H4" i="1"/>
  <c r="M4" i="1" s="1"/>
  <c r="L4" i="1"/>
  <c r="N13" i="5"/>
  <c r="CB24" i="7" a="1"/>
  <c r="CB24" i="7" s="1"/>
  <c r="CB66" i="7" s="1" a="1"/>
  <c r="CB66" i="7" s="1"/>
  <c r="CB19" i="7"/>
  <c r="CB88" i="7"/>
  <c r="X54" i="8"/>
  <c r="X10" i="8"/>
  <c r="CB54" i="8" a="1"/>
  <c r="CB54" i="8" s="1"/>
  <c r="CB62" i="8" a="1"/>
  <c r="CB62" i="8" s="1"/>
  <c r="CB47" i="8"/>
  <c r="CB22" i="8"/>
  <c r="CB65" i="8" s="1"/>
  <c r="CB18" i="8" a="1"/>
  <c r="CB18" i="8" s="1"/>
  <c r="CB88" i="8"/>
  <c r="CB46" i="8"/>
  <c r="CB21" i="8"/>
  <c r="CB64" i="8" s="1"/>
  <c r="CB24" i="8" a="1"/>
  <c r="CB24" i="8" s="1"/>
  <c r="CB67" i="8" s="1"/>
  <c r="CB87" i="8"/>
  <c r="CB45" i="8"/>
  <c r="CB27" i="8" a="1"/>
  <c r="CB27" i="8" s="1"/>
  <c r="CB70" i="8" s="1"/>
  <c r="CB20" i="8"/>
  <c r="CB63" i="8" s="1"/>
  <c r="CB48" i="8" a="1"/>
  <c r="CB48" i="8" s="1"/>
  <c r="CB86" i="8" a="1"/>
  <c r="CB86" i="8" s="1"/>
  <c r="CB35" i="8" a="1"/>
  <c r="CB35" i="8" s="1"/>
  <c r="CB78" i="8" s="1"/>
  <c r="CB23" i="8"/>
  <c r="CB66" i="8" s="1"/>
  <c r="CB19" i="8"/>
  <c r="CB38" i="8" a="1"/>
  <c r="CB38" i="8" s="1"/>
  <c r="CB81" i="8" s="1"/>
  <c r="N9" i="5"/>
  <c r="L3" i="1"/>
  <c r="H3" i="1"/>
  <c r="F16" i="13"/>
  <c r="N10" i="13"/>
  <c r="N8" i="5"/>
  <c r="H2" i="1"/>
  <c r="M2" i="1" s="1"/>
  <c r="L2" i="1"/>
  <c r="CB25" i="7" a="1"/>
  <c r="CB25" i="7" s="1"/>
  <c r="CB67" i="7" s="1"/>
  <c r="CB87" i="7"/>
  <c r="CB28" i="7" a="1"/>
  <c r="CB28" i="7" s="1"/>
  <c r="CB70" i="7" s="1"/>
  <c r="AB54" i="8"/>
  <c r="AB10" i="8"/>
  <c r="AC103" i="8"/>
  <c r="AC126" i="8"/>
  <c r="BY91" i="8"/>
  <c r="N148" i="8"/>
  <c r="O148" i="8" s="1"/>
  <c r="P148" i="8" s="1"/>
  <c r="Q148" i="8" s="1"/>
  <c r="R148" i="8" s="1"/>
  <c r="S148" i="8" s="1"/>
  <c r="T148" i="8" s="1"/>
  <c r="U148" i="8" s="1"/>
  <c r="V148" i="8" s="1"/>
  <c r="W148" i="8" s="1"/>
  <c r="X148" i="8" s="1"/>
  <c r="Y148" i="8" s="1"/>
  <c r="Z148" i="8" s="1"/>
  <c r="AA148" i="8" s="1"/>
  <c r="AB148" i="8" s="1"/>
  <c r="BZ90" i="8"/>
  <c r="BY97" i="8" s="1"/>
  <c r="Y10" i="8"/>
  <c r="Y54" i="8"/>
  <c r="S98" i="7"/>
  <c r="N11" i="5"/>
  <c r="H5" i="1"/>
  <c r="M5" i="1" s="1"/>
  <c r="L5" i="1"/>
  <c r="BY52" i="7"/>
  <c r="V48" i="7"/>
  <c r="N16" i="5"/>
  <c r="W34" i="8"/>
  <c r="W27" i="8" s="1"/>
  <c r="V34" i="8"/>
  <c r="V27" i="8" s="1"/>
  <c r="U34" i="8"/>
  <c r="AB34" i="8"/>
  <c r="AA34" i="8"/>
  <c r="AA27" i="8" s="1"/>
  <c r="Z34" i="8"/>
  <c r="Y34" i="8"/>
  <c r="X34" i="8"/>
  <c r="AI28" i="7"/>
  <c r="CB21" i="7"/>
  <c r="CB64" i="7" s="1"/>
  <c r="CB36" i="7" a="1"/>
  <c r="CB36" i="7" s="1"/>
  <c r="CB78" i="7" s="1"/>
  <c r="CB45" i="7"/>
  <c r="BY10" i="7"/>
  <c r="BZ9" i="7" s="1"/>
  <c r="AI96" i="7" s="1"/>
  <c r="AI89" i="7" s="1"/>
  <c r="CC5" i="7"/>
  <c r="CB49" i="7"/>
  <c r="N12" i="5"/>
  <c r="CB48" i="7" a="1"/>
  <c r="CB48" i="7" s="1"/>
  <c r="CB47" i="7"/>
  <c r="CB22" i="7"/>
  <c r="CB65" i="7" s="1"/>
  <c r="CB54" i="7" a="1"/>
  <c r="CB54" i="7" s="1"/>
  <c r="S40" i="8"/>
  <c r="L19" i="5"/>
  <c r="CB86" i="7" a="1"/>
  <c r="CB86" i="7" s="1"/>
  <c r="CB18" i="7" a="1"/>
  <c r="CB18" i="7" s="1"/>
  <c r="AC79" i="8"/>
  <c r="BY19" i="7"/>
  <c r="R73" i="9"/>
  <c r="R65" i="9"/>
  <c r="R57" i="9"/>
  <c r="R49" i="9"/>
  <c r="R41" i="9"/>
  <c r="R33" i="9"/>
  <c r="R25" i="9"/>
  <c r="R17" i="9"/>
  <c r="R9" i="9"/>
  <c r="R74" i="9"/>
  <c r="R64" i="9"/>
  <c r="R55" i="9"/>
  <c r="R46" i="9"/>
  <c r="R37" i="9"/>
  <c r="R28" i="9"/>
  <c r="R19" i="9"/>
  <c r="R10" i="9"/>
  <c r="R72" i="9"/>
  <c r="R63" i="9"/>
  <c r="R54" i="9"/>
  <c r="R45" i="9"/>
  <c r="R36" i="9"/>
  <c r="R27" i="9"/>
  <c r="R18" i="9"/>
  <c r="R71" i="9"/>
  <c r="R62" i="9"/>
  <c r="R53" i="9"/>
  <c r="R44" i="9"/>
  <c r="R35" i="9"/>
  <c r="R26" i="9"/>
  <c r="R16" i="9"/>
  <c r="R8" i="9"/>
  <c r="S8" i="9" s="1"/>
  <c r="R77" i="9"/>
  <c r="R61" i="9"/>
  <c r="R48" i="9"/>
  <c r="R32" i="9"/>
  <c r="R20" i="9"/>
  <c r="R76" i="9"/>
  <c r="R60" i="9"/>
  <c r="R47" i="9"/>
  <c r="R31" i="9"/>
  <c r="R15" i="9"/>
  <c r="R75" i="9"/>
  <c r="R59" i="9"/>
  <c r="R43" i="9"/>
  <c r="R30" i="9"/>
  <c r="R14" i="9"/>
  <c r="R70" i="9"/>
  <c r="R58" i="9"/>
  <c r="R42" i="9"/>
  <c r="R29" i="9"/>
  <c r="R13" i="9"/>
  <c r="R69" i="9"/>
  <c r="R56" i="9"/>
  <c r="R40" i="9"/>
  <c r="R24" i="9"/>
  <c r="R12" i="9"/>
  <c r="R68" i="9"/>
  <c r="R52" i="9"/>
  <c r="R39" i="9"/>
  <c r="R23" i="9"/>
  <c r="R11" i="9"/>
  <c r="R79" i="9"/>
  <c r="R67" i="9"/>
  <c r="R51" i="9"/>
  <c r="R38" i="9"/>
  <c r="R22" i="9"/>
  <c r="R78" i="9"/>
  <c r="R66" i="9"/>
  <c r="R50" i="9"/>
  <c r="R34" i="9"/>
  <c r="R21" i="9"/>
  <c r="W54" i="8"/>
  <c r="W10" i="8"/>
  <c r="C74" i="9"/>
  <c r="C79" i="9"/>
  <c r="C70" i="9"/>
  <c r="C62" i="9"/>
  <c r="C54" i="9"/>
  <c r="C46" i="9"/>
  <c r="C38" i="9"/>
  <c r="C30" i="9"/>
  <c r="C22" i="9"/>
  <c r="C14" i="9"/>
  <c r="C78" i="9"/>
  <c r="C69" i="9"/>
  <c r="C61" i="9"/>
  <c r="C53" i="9"/>
  <c r="C45" i="9"/>
  <c r="C37" i="9"/>
  <c r="C29" i="9"/>
  <c r="C21" i="9"/>
  <c r="C13" i="9"/>
  <c r="C77" i="9"/>
  <c r="C68" i="9"/>
  <c r="C60" i="9"/>
  <c r="C52" i="9"/>
  <c r="C44" i="9"/>
  <c r="C36" i="9"/>
  <c r="C28" i="9"/>
  <c r="C20" i="9"/>
  <c r="C12" i="9"/>
  <c r="C67" i="9"/>
  <c r="C56" i="9"/>
  <c r="C42" i="9"/>
  <c r="C31" i="9"/>
  <c r="C17" i="9"/>
  <c r="C66" i="9"/>
  <c r="C55" i="9"/>
  <c r="C41" i="9"/>
  <c r="C27" i="9"/>
  <c r="C16" i="9"/>
  <c r="C65" i="9"/>
  <c r="C51" i="9"/>
  <c r="C40" i="9"/>
  <c r="C26" i="9"/>
  <c r="C15" i="9"/>
  <c r="C76" i="9"/>
  <c r="C64" i="9"/>
  <c r="C50" i="9"/>
  <c r="C39" i="9"/>
  <c r="C25" i="9"/>
  <c r="C11" i="9"/>
  <c r="C75" i="9"/>
  <c r="C63" i="9"/>
  <c r="C49" i="9"/>
  <c r="C35" i="9"/>
  <c r="C24" i="9"/>
  <c r="C10" i="9"/>
  <c r="C73" i="9"/>
  <c r="C59" i="9"/>
  <c r="C48" i="9"/>
  <c r="C34" i="9"/>
  <c r="C23" i="9"/>
  <c r="C9" i="9"/>
  <c r="C72" i="9"/>
  <c r="C58" i="9"/>
  <c r="C47" i="9"/>
  <c r="C33" i="9"/>
  <c r="C19" i="9"/>
  <c r="C71" i="9"/>
  <c r="C57" i="9"/>
  <c r="C43" i="9"/>
  <c r="C32" i="9"/>
  <c r="C18" i="9"/>
  <c r="C8" i="9"/>
  <c r="D8" i="9" s="1"/>
  <c r="N18" i="5"/>
  <c r="H12" i="1"/>
  <c r="M12" i="1" s="1"/>
  <c r="L12" i="1"/>
  <c r="BY52" i="8"/>
  <c r="V23" i="7"/>
  <c r="I11" i="6"/>
  <c r="G11" i="6" s="1"/>
  <c r="W28" i="7"/>
  <c r="N8" i="13"/>
  <c r="L17" i="13"/>
  <c r="CB39" i="7" a="1"/>
  <c r="CB39" i="7" s="1"/>
  <c r="CB81" i="7" s="1"/>
  <c r="U40" i="8"/>
  <c r="AB40" i="8"/>
  <c r="T40" i="8"/>
  <c r="AA40" i="8"/>
  <c r="Z40" i="8"/>
  <c r="Y40" i="8"/>
  <c r="X40" i="8"/>
  <c r="W40" i="8"/>
  <c r="V40" i="8"/>
  <c r="G14" i="1" l="1"/>
  <c r="L13" i="1"/>
  <c r="F66" i="5" s="1"/>
  <c r="V18" i="7"/>
  <c r="BY23" i="7"/>
  <c r="BY18" i="7" s="1"/>
  <c r="Y27" i="8"/>
  <c r="C40" i="5"/>
  <c r="AH35" i="7"/>
  <c r="AG35" i="7"/>
  <c r="F63" i="5"/>
  <c r="AG44" i="7" s="1"/>
  <c r="F64" i="5"/>
  <c r="U27" i="8"/>
  <c r="Y35" i="7"/>
  <c r="Y28" i="7" s="1"/>
  <c r="BY32" i="8"/>
  <c r="AF35" i="7"/>
  <c r="M70" i="9"/>
  <c r="M43" i="9"/>
  <c r="M55" i="9"/>
  <c r="M59" i="9"/>
  <c r="M65" i="9"/>
  <c r="M35" i="9"/>
  <c r="M62" i="9"/>
  <c r="M21" i="9"/>
  <c r="M54" i="9"/>
  <c r="M46" i="9"/>
  <c r="M64" i="9"/>
  <c r="M8" i="9"/>
  <c r="N8" i="9" s="1"/>
  <c r="O8" i="9" s="1"/>
  <c r="M16" i="9"/>
  <c r="M74" i="9"/>
  <c r="M51" i="9"/>
  <c r="M22" i="9"/>
  <c r="M20" i="9"/>
  <c r="M41" i="9"/>
  <c r="M34" i="9"/>
  <c r="M36" i="9"/>
  <c r="M66" i="9"/>
  <c r="M67" i="9"/>
  <c r="M14" i="9"/>
  <c r="M45" i="9"/>
  <c r="M50" i="9"/>
  <c r="M73" i="9"/>
  <c r="M39" i="9"/>
  <c r="M52" i="9"/>
  <c r="M69" i="9"/>
  <c r="M15" i="9"/>
  <c r="M17" i="9"/>
  <c r="M18" i="9"/>
  <c r="M47" i="9"/>
  <c r="M25" i="9"/>
  <c r="M31" i="9"/>
  <c r="M33" i="9"/>
  <c r="M37" i="9"/>
  <c r="M56" i="9"/>
  <c r="M75" i="9"/>
  <c r="M44" i="9"/>
  <c r="M24" i="9"/>
  <c r="M42" i="9"/>
  <c r="M61" i="9"/>
  <c r="M63" i="9"/>
  <c r="M19" i="9"/>
  <c r="M48" i="9"/>
  <c r="M60" i="9"/>
  <c r="M40" i="9"/>
  <c r="M71" i="9"/>
  <c r="M77" i="9"/>
  <c r="M79" i="9"/>
  <c r="M38" i="9"/>
  <c r="M57" i="9"/>
  <c r="M68" i="9"/>
  <c r="M23" i="9"/>
  <c r="M13" i="9"/>
  <c r="M58" i="9"/>
  <c r="M32" i="9"/>
  <c r="M78" i="9"/>
  <c r="M27" i="9"/>
  <c r="M29" i="9"/>
  <c r="M30" i="9"/>
  <c r="M28" i="9"/>
  <c r="M53" i="9"/>
  <c r="M26" i="9"/>
  <c r="M72" i="9"/>
  <c r="M49" i="9"/>
  <c r="M9" i="9"/>
  <c r="M10" i="9"/>
  <c r="M11" i="9"/>
  <c r="M12" i="9"/>
  <c r="AF28" i="7"/>
  <c r="AE28" i="7"/>
  <c r="AG28" i="7"/>
  <c r="AH28" i="7"/>
  <c r="Z35" i="7"/>
  <c r="Z28" i="7" s="1"/>
  <c r="AD28" i="7"/>
  <c r="AC35" i="7"/>
  <c r="AC28" i="7" s="1"/>
  <c r="T34" i="8"/>
  <c r="T27" i="8" s="1"/>
  <c r="AB35" i="7"/>
  <c r="AB28" i="7" s="1"/>
  <c r="Z27" i="8"/>
  <c r="AB27" i="8"/>
  <c r="X27" i="8"/>
  <c r="BY33" i="7"/>
  <c r="F62" i="5"/>
  <c r="X43" i="8" s="1"/>
  <c r="X44" i="7"/>
  <c r="AF44" i="7"/>
  <c r="AC44" i="7"/>
  <c r="Y44" i="7"/>
  <c r="AI44" i="7"/>
  <c r="W44" i="7"/>
  <c r="AD44" i="7"/>
  <c r="AB44" i="7"/>
  <c r="E55" i="5"/>
  <c r="M3" i="1"/>
  <c r="J18" i="13"/>
  <c r="J26" i="13" s="1"/>
  <c r="BY40" i="8"/>
  <c r="T8" i="9"/>
  <c r="S9" i="9"/>
  <c r="CC18" i="8"/>
  <c r="CB61" i="8"/>
  <c r="H8" i="9" a="1"/>
  <c r="D134" i="8"/>
  <c r="D136" i="8" s="1"/>
  <c r="H52" i="6"/>
  <c r="I52" i="6" s="1"/>
  <c r="I53" i="6" s="1"/>
  <c r="F22" i="13"/>
  <c r="C23" i="13" s="1"/>
  <c r="V44" i="8"/>
  <c r="AC44" i="8"/>
  <c r="U44" i="8"/>
  <c r="AB44" i="8"/>
  <c r="AJ62" i="7"/>
  <c r="BY79" i="7"/>
  <c r="BY62" i="7" s="1"/>
  <c r="Y39" i="8"/>
  <c r="X39" i="8"/>
  <c r="W39" i="8"/>
  <c r="V39" i="8"/>
  <c r="U39" i="8"/>
  <c r="AB39" i="8"/>
  <c r="T39" i="8"/>
  <c r="AA39" i="8"/>
  <c r="S39" i="8"/>
  <c r="Z39" i="8"/>
  <c r="I25" i="6"/>
  <c r="H97" i="6" s="1"/>
  <c r="I99" i="6" s="1"/>
  <c r="CB9" i="7"/>
  <c r="N148" i="7"/>
  <c r="O148" i="7" s="1"/>
  <c r="P148" i="7" s="1"/>
  <c r="Q148" i="7" s="1"/>
  <c r="R148" i="7" s="1"/>
  <c r="S148" i="7" s="1"/>
  <c r="T148" i="7" s="1"/>
  <c r="U148" i="7" s="1"/>
  <c r="V148" i="7" s="1"/>
  <c r="W148" i="7" s="1"/>
  <c r="X148" i="7" s="1"/>
  <c r="Y148" i="7" s="1"/>
  <c r="Z148" i="7" s="1"/>
  <c r="AA148" i="7" s="1"/>
  <c r="AB148" i="7" s="1"/>
  <c r="AC148" i="7" s="1"/>
  <c r="AD148" i="7" s="1"/>
  <c r="AE148" i="7" s="1"/>
  <c r="AF148" i="7" s="1"/>
  <c r="D150" i="7"/>
  <c r="D152" i="7" s="1"/>
  <c r="D154" i="7" s="1"/>
  <c r="AC142" i="8"/>
  <c r="N19" i="5"/>
  <c r="J20" i="5"/>
  <c r="J31" i="5" s="1"/>
  <c r="N34" i="5" s="1"/>
  <c r="D167" i="7"/>
  <c r="D169" i="7" s="1"/>
  <c r="BY79" i="8"/>
  <c r="BY62" i="8" s="1"/>
  <c r="AC62" i="8"/>
  <c r="I12" i="6"/>
  <c r="BY10" i="8"/>
  <c r="BZ9" i="8" s="1"/>
  <c r="CB10" i="8"/>
  <c r="S99" i="7"/>
  <c r="T99" i="7" s="1"/>
  <c r="U99" i="7" s="1"/>
  <c r="D9" i="9"/>
  <c r="E8" i="9"/>
  <c r="CC18" i="7"/>
  <c r="CB61" i="7"/>
  <c r="CB10" i="7"/>
  <c r="F20" i="5" l="1"/>
  <c r="F19" i="5" s="1"/>
  <c r="C23" i="5" s="1"/>
  <c r="F41" i="5"/>
  <c r="AA44" i="7"/>
  <c r="W43" i="8"/>
  <c r="AG43" i="7"/>
  <c r="S44" i="8"/>
  <c r="X44" i="8"/>
  <c r="AC43" i="8"/>
  <c r="AH44" i="7"/>
  <c r="AA43" i="7"/>
  <c r="Z44" i="8"/>
  <c r="U43" i="8"/>
  <c r="AA44" i="8"/>
  <c r="Y44" i="8"/>
  <c r="V43" i="8"/>
  <c r="Z44" i="7"/>
  <c r="W44" i="8"/>
  <c r="T44" i="8"/>
  <c r="AE44" i="7"/>
  <c r="I23" i="6"/>
  <c r="AE43" i="7"/>
  <c r="C67" i="5"/>
  <c r="Y43" i="8"/>
  <c r="AI45" i="7"/>
  <c r="AH45" i="7"/>
  <c r="X45" i="7"/>
  <c r="W45" i="7"/>
  <c r="T43" i="8"/>
  <c r="F31" i="13"/>
  <c r="N9" i="9"/>
  <c r="BY35" i="7"/>
  <c r="BY28" i="7" s="1"/>
  <c r="BY34" i="8"/>
  <c r="BY27" i="8" s="1"/>
  <c r="AF43" i="7"/>
  <c r="AF39" i="7" s="1"/>
  <c r="AC43" i="7"/>
  <c r="AC39" i="7" s="1"/>
  <c r="AC15" i="7" s="1"/>
  <c r="AE14" i="7" s="1"/>
  <c r="Z43" i="7"/>
  <c r="AB43" i="8"/>
  <c r="Y43" i="7"/>
  <c r="AI43" i="7"/>
  <c r="X43" i="7"/>
  <c r="F24" i="5"/>
  <c r="Z43" i="8"/>
  <c r="S43" i="8"/>
  <c r="AH43" i="7"/>
  <c r="AB43" i="7"/>
  <c r="AB39" i="7" s="1"/>
  <c r="AB15" i="7" s="1"/>
  <c r="AD14" i="7" s="1"/>
  <c r="AA43" i="8"/>
  <c r="AD43" i="7"/>
  <c r="AD39" i="7" s="1"/>
  <c r="W43" i="7"/>
  <c r="S45" i="8"/>
  <c r="T45" i="8"/>
  <c r="T38" i="8" s="1"/>
  <c r="AB45" i="8"/>
  <c r="AB38" i="8" s="1"/>
  <c r="I27" i="6"/>
  <c r="AC45" i="8"/>
  <c r="AG39" i="7"/>
  <c r="AG15" i="7" s="1"/>
  <c r="Y39" i="7"/>
  <c r="Y15" i="7" s="1"/>
  <c r="AA14" i="7" s="1"/>
  <c r="AE39" i="7"/>
  <c r="AE15" i="7" s="1"/>
  <c r="AG14" i="7" s="1"/>
  <c r="U38" i="8"/>
  <c r="U15" i="8" s="1"/>
  <c r="W14" i="8" s="1"/>
  <c r="V38" i="8"/>
  <c r="V15" i="8" s="1"/>
  <c r="X14" i="8" s="1"/>
  <c r="X38" i="8"/>
  <c r="X15" i="8" s="1"/>
  <c r="Z14" i="8" s="1"/>
  <c r="L14" i="1"/>
  <c r="F33" i="13"/>
  <c r="F28" i="13"/>
  <c r="F36" i="13"/>
  <c r="F35" i="13"/>
  <c r="F34" i="13"/>
  <c r="F29" i="13"/>
  <c r="F24" i="13"/>
  <c r="F38" i="13"/>
  <c r="F30" i="13"/>
  <c r="F37" i="13"/>
  <c r="Z38" i="8"/>
  <c r="F32" i="13"/>
  <c r="T9" i="9"/>
  <c r="S10" i="9"/>
  <c r="H79" i="9"/>
  <c r="H71" i="9"/>
  <c r="H63" i="9"/>
  <c r="H55" i="9"/>
  <c r="H47" i="9"/>
  <c r="H39" i="9"/>
  <c r="H31" i="9"/>
  <c r="H23" i="9"/>
  <c r="H15" i="9"/>
  <c r="H8" i="9"/>
  <c r="I8" i="9" s="1"/>
  <c r="H77" i="9"/>
  <c r="H68" i="9"/>
  <c r="H59" i="9"/>
  <c r="H50" i="9"/>
  <c r="H41" i="9"/>
  <c r="H32" i="9"/>
  <c r="H22" i="9"/>
  <c r="H13" i="9"/>
  <c r="H76" i="9"/>
  <c r="H67" i="9"/>
  <c r="H58" i="9"/>
  <c r="H49" i="9"/>
  <c r="H40" i="9"/>
  <c r="H30" i="9"/>
  <c r="H21" i="9"/>
  <c r="H12" i="9"/>
  <c r="H75" i="9"/>
  <c r="H66" i="9"/>
  <c r="H57" i="9"/>
  <c r="H48" i="9"/>
  <c r="H38" i="9"/>
  <c r="H29" i="9"/>
  <c r="H20" i="9"/>
  <c r="H11" i="9"/>
  <c r="H65" i="9"/>
  <c r="H52" i="9"/>
  <c r="H36" i="9"/>
  <c r="H24" i="9"/>
  <c r="H64" i="9"/>
  <c r="H51" i="9"/>
  <c r="H35" i="9"/>
  <c r="H19" i="9"/>
  <c r="H78" i="9"/>
  <c r="H62" i="9"/>
  <c r="H46" i="9"/>
  <c r="H34" i="9"/>
  <c r="H18" i="9"/>
  <c r="H74" i="9"/>
  <c r="H61" i="9"/>
  <c r="H45" i="9"/>
  <c r="H33" i="9"/>
  <c r="H17" i="9"/>
  <c r="H73" i="9"/>
  <c r="H60" i="9"/>
  <c r="H44" i="9"/>
  <c r="H28" i="9"/>
  <c r="H16" i="9"/>
  <c r="H72" i="9"/>
  <c r="H56" i="9"/>
  <c r="H43" i="9"/>
  <c r="H27" i="9"/>
  <c r="H14" i="9"/>
  <c r="H70" i="9"/>
  <c r="H54" i="9"/>
  <c r="H42" i="9"/>
  <c r="H26" i="9"/>
  <c r="H10" i="9"/>
  <c r="H69" i="9"/>
  <c r="H53" i="9"/>
  <c r="H37" i="9"/>
  <c r="H25" i="9"/>
  <c r="H9" i="9"/>
  <c r="BY96" i="7"/>
  <c r="BZ90" i="7" s="1"/>
  <c r="BY97" i="7" s="1"/>
  <c r="AJ89" i="7"/>
  <c r="CC9" i="7"/>
  <c r="CB53" i="7"/>
  <c r="W38" i="8"/>
  <c r="BY39" i="8"/>
  <c r="Y38" i="8"/>
  <c r="H28" i="6"/>
  <c r="I28" i="6" s="1"/>
  <c r="H96" i="6" s="1"/>
  <c r="B17" i="1"/>
  <c r="E9" i="9"/>
  <c r="D10" i="9"/>
  <c r="CA9" i="8"/>
  <c r="BY40" i="7"/>
  <c r="V39" i="7"/>
  <c r="V15" i="7" s="1"/>
  <c r="AA38" i="8"/>
  <c r="AJ39" i="7"/>
  <c r="AA39" i="7"/>
  <c r="O9" i="9"/>
  <c r="N10" i="9"/>
  <c r="CA11" i="8" l="1"/>
  <c r="CB11" i="8" s="1"/>
  <c r="CB55" i="8" s="1"/>
  <c r="CB9" i="8"/>
  <c r="BY44" i="8"/>
  <c r="BY44" i="7"/>
  <c r="AC38" i="8"/>
  <c r="AC15" i="8" s="1"/>
  <c r="AE14" i="8" s="1"/>
  <c r="AH39" i="7"/>
  <c r="AH15" i="7" s="1"/>
  <c r="Z39" i="7"/>
  <c r="Z15" i="7" s="1"/>
  <c r="AB14" i="7" s="1"/>
  <c r="AB17" i="7" s="1"/>
  <c r="BY43" i="8"/>
  <c r="W39" i="7"/>
  <c r="W97" i="7" s="1"/>
  <c r="BY45" i="8"/>
  <c r="BY43" i="7"/>
  <c r="S38" i="8"/>
  <c r="S15" i="8" s="1"/>
  <c r="BY45" i="7"/>
  <c r="AG97" i="7"/>
  <c r="AG17" i="7"/>
  <c r="Y97" i="7"/>
  <c r="AB97" i="7"/>
  <c r="AE17" i="7"/>
  <c r="AC97" i="7"/>
  <c r="X47" i="7"/>
  <c r="X39" i="7" s="1"/>
  <c r="X15" i="7" s="1"/>
  <c r="AE97" i="7"/>
  <c r="X17" i="8"/>
  <c r="BY38" i="8"/>
  <c r="Q60" i="13"/>
  <c r="Q58" i="13"/>
  <c r="I29" i="6"/>
  <c r="I32" i="6" s="1"/>
  <c r="T15" i="8"/>
  <c r="Y15" i="8"/>
  <c r="AA14" i="8" s="1"/>
  <c r="Q59" i="13"/>
  <c r="Z15" i="8"/>
  <c r="N11" i="9"/>
  <c r="O10" i="9"/>
  <c r="AA15" i="8"/>
  <c r="AC14" i="8" s="1"/>
  <c r="E10" i="9"/>
  <c r="D11" i="9"/>
  <c r="F40" i="13"/>
  <c r="AF15" i="7"/>
  <c r="AH14" i="7" s="1"/>
  <c r="AF97" i="7"/>
  <c r="R30" i="13"/>
  <c r="AB15" i="8"/>
  <c r="AD14" i="8" s="1"/>
  <c r="AD17" i="8" s="1"/>
  <c r="AD98" i="8" s="1"/>
  <c r="N26" i="5"/>
  <c r="G65" i="6"/>
  <c r="J32" i="5"/>
  <c r="AI13" i="7" s="1"/>
  <c r="V97" i="7"/>
  <c r="Q61" i="13"/>
  <c r="AD15" i="7"/>
  <c r="AD97" i="7"/>
  <c r="AA15" i="7"/>
  <c r="AA97" i="7"/>
  <c r="H89" i="6"/>
  <c r="H99" i="6"/>
  <c r="W15" i="8"/>
  <c r="T10" i="9"/>
  <c r="S11" i="9"/>
  <c r="CB53" i="8"/>
  <c r="CC9" i="8"/>
  <c r="J8" i="9"/>
  <c r="I9" i="9"/>
  <c r="F41" i="13"/>
  <c r="AH17" i="7" l="1"/>
  <c r="AH97" i="7"/>
  <c r="W15" i="7"/>
  <c r="AI47" i="7"/>
  <c r="AI39" i="7" s="1"/>
  <c r="AI15" i="7" s="1"/>
  <c r="AI14" i="7" s="1"/>
  <c r="AI17" i="7" s="1"/>
  <c r="F39" i="6"/>
  <c r="F40" i="6" s="1"/>
  <c r="I40" i="6" s="1"/>
  <c r="AG98" i="7"/>
  <c r="AH98" i="7"/>
  <c r="AB98" i="7"/>
  <c r="AE98" i="7"/>
  <c r="AA17" i="8"/>
  <c r="C44" i="13"/>
  <c r="Q50" i="13" s="1"/>
  <c r="F42" i="6"/>
  <c r="AF14" i="7"/>
  <c r="AF17" i="7" s="1"/>
  <c r="AF98" i="7" s="1"/>
  <c r="AD17" i="7"/>
  <c r="AD98" i="7" s="1"/>
  <c r="N12" i="9"/>
  <c r="O11" i="9"/>
  <c r="V14" i="8"/>
  <c r="V17" i="8" s="1"/>
  <c r="T17" i="8"/>
  <c r="S17" i="8"/>
  <c r="BY15" i="8"/>
  <c r="U14" i="8"/>
  <c r="X14" i="7"/>
  <c r="V17" i="7"/>
  <c r="V98" i="7" s="1"/>
  <c r="V99" i="7" s="1"/>
  <c r="E11" i="9"/>
  <c r="D12" i="9"/>
  <c r="T11" i="9"/>
  <c r="S12" i="9"/>
  <c r="Y14" i="8"/>
  <c r="Y17" i="8" s="1"/>
  <c r="W17" i="8"/>
  <c r="Y14" i="7"/>
  <c r="Y17" i="7" s="1"/>
  <c r="Y98" i="7" s="1"/>
  <c r="W17" i="7"/>
  <c r="W98" i="7" s="1"/>
  <c r="AE13" i="8"/>
  <c r="AB14" i="8"/>
  <c r="AB17" i="8" s="1"/>
  <c r="Z17" i="8"/>
  <c r="G66" i="6"/>
  <c r="I10" i="9"/>
  <c r="J9" i="9"/>
  <c r="Z14" i="7"/>
  <c r="Z17" i="7" s="1"/>
  <c r="AC14" i="7"/>
  <c r="AC17" i="7" s="1"/>
  <c r="AC98" i="7" s="1"/>
  <c r="AA17" i="7"/>
  <c r="AA98" i="7" s="1"/>
  <c r="AC17" i="8"/>
  <c r="BY47" i="7" l="1"/>
  <c r="BY39" i="7" s="1"/>
  <c r="G60" i="6"/>
  <c r="G59" i="6"/>
  <c r="I59" i="6" s="1"/>
  <c r="F41" i="6"/>
  <c r="I41" i="6" s="1"/>
  <c r="F68" i="5"/>
  <c r="D83" i="5"/>
  <c r="F73" i="5" s="1"/>
  <c r="C47" i="13"/>
  <c r="Q41" i="13" s="1"/>
  <c r="R23" i="13"/>
  <c r="R52" i="13"/>
  <c r="Q52" i="13" s="1"/>
  <c r="F45" i="13"/>
  <c r="Q51" i="13"/>
  <c r="Q49" i="13"/>
  <c r="I60" i="6"/>
  <c r="W99" i="7"/>
  <c r="BY15" i="7"/>
  <c r="BY14" i="8"/>
  <c r="CB14" i="8" s="1"/>
  <c r="CB58" i="8" s="1"/>
  <c r="CB59" i="8" a="1"/>
  <c r="CB59" i="8" s="1"/>
  <c r="U17" i="8"/>
  <c r="AE17" i="8"/>
  <c r="AE98" i="8" s="1"/>
  <c r="BY13" i="8"/>
  <c r="X17" i="7"/>
  <c r="BY14" i="7"/>
  <c r="CB14" i="7" s="1"/>
  <c r="CB58" i="7" s="1"/>
  <c r="CB59" i="7" a="1"/>
  <c r="CB59" i="7" s="1"/>
  <c r="O12" i="9"/>
  <c r="N13" i="9"/>
  <c r="S13" i="9"/>
  <c r="T12" i="9"/>
  <c r="D13" i="9"/>
  <c r="E12" i="9"/>
  <c r="BY13" i="7"/>
  <c r="AJ17" i="7"/>
  <c r="X48" i="7"/>
  <c r="X97" i="7" s="1"/>
  <c r="I11" i="9"/>
  <c r="J10" i="9"/>
  <c r="N23" i="13" l="1"/>
  <c r="N25" i="13"/>
  <c r="Q42" i="13"/>
  <c r="C49" i="13"/>
  <c r="R24" i="13"/>
  <c r="R25" i="13" s="1"/>
  <c r="N20" i="13"/>
  <c r="N21" i="13" s="1"/>
  <c r="R43" i="13"/>
  <c r="Q43" i="13" s="1"/>
  <c r="Z49" i="7"/>
  <c r="U49" i="8"/>
  <c r="BY49" i="8" s="1"/>
  <c r="I43" i="6"/>
  <c r="I44" i="6" s="1"/>
  <c r="D84" i="5"/>
  <c r="D85" i="5" s="1"/>
  <c r="Q40" i="13"/>
  <c r="Q39" i="13"/>
  <c r="BZ12" i="8"/>
  <c r="CB12" i="8" s="1"/>
  <c r="M29" i="13"/>
  <c r="N32" i="13" s="1"/>
  <c r="BZ12" i="7"/>
  <c r="BY17" i="7" s="1"/>
  <c r="X98" i="7"/>
  <c r="X99" i="7" s="1"/>
  <c r="Y99" i="7" s="1"/>
  <c r="CB13" i="7"/>
  <c r="CB57" i="7" s="1"/>
  <c r="CB13" i="8"/>
  <c r="CB57" i="8" s="1"/>
  <c r="T13" i="9"/>
  <c r="S14" i="9"/>
  <c r="J11" i="9"/>
  <c r="I12" i="9"/>
  <c r="D14" i="9"/>
  <c r="E13" i="9"/>
  <c r="O13" i="9"/>
  <c r="N14" i="9"/>
  <c r="Z48" i="7" l="1"/>
  <c r="Z97" i="7" s="1"/>
  <c r="Z98" i="7" s="1"/>
  <c r="Z99" i="7" s="1"/>
  <c r="AA99" i="7" s="1"/>
  <c r="AB99" i="7" s="1"/>
  <c r="AC99" i="7" s="1"/>
  <c r="AD99" i="7" s="1"/>
  <c r="AE99" i="7" s="1"/>
  <c r="AF99" i="7" s="1"/>
  <c r="AG99" i="7" s="1"/>
  <c r="AH99" i="7" s="1"/>
  <c r="BY49" i="7"/>
  <c r="BY48" i="7" s="1"/>
  <c r="I47" i="6"/>
  <c r="G69" i="6" s="1"/>
  <c r="BY17" i="8"/>
  <c r="N31" i="13"/>
  <c r="N33" i="13"/>
  <c r="R29" i="13"/>
  <c r="R31" i="13" s="1"/>
  <c r="CB12" i="7"/>
  <c r="CC12" i="7" s="1"/>
  <c r="CB17" i="7" s="1"/>
  <c r="CB60" i="7" s="1"/>
  <c r="E14" i="9"/>
  <c r="D15" i="9"/>
  <c r="T14" i="9"/>
  <c r="S15" i="9"/>
  <c r="J12" i="9"/>
  <c r="I13" i="9"/>
  <c r="CB56" i="8"/>
  <c r="CC12" i="8"/>
  <c r="CB17" i="8" s="1"/>
  <c r="CB60" i="8" s="1"/>
  <c r="O14" i="9"/>
  <c r="N15" i="9"/>
  <c r="H47" i="6" l="1"/>
  <c r="I55" i="6"/>
  <c r="G71" i="6"/>
  <c r="G87" i="6"/>
  <c r="H87" i="6" s="1"/>
  <c r="H90" i="6" s="1"/>
  <c r="G75" i="6"/>
  <c r="G76" i="6" s="1"/>
  <c r="CB56" i="7"/>
  <c r="S16" i="9"/>
  <c r="T15" i="9"/>
  <c r="I14" i="9"/>
  <c r="J13" i="9"/>
  <c r="E15" i="9"/>
  <c r="D16" i="9"/>
  <c r="O15" i="9"/>
  <c r="N16" i="9"/>
  <c r="I87" i="6" l="1"/>
  <c r="G81" i="6"/>
  <c r="H81" i="6" s="1"/>
  <c r="I81" i="6" s="1"/>
  <c r="I83" i="6" s="1"/>
  <c r="I90" i="6"/>
  <c r="I15" i="9"/>
  <c r="J14" i="9"/>
  <c r="E16" i="9"/>
  <c r="D17" i="9"/>
  <c r="O16" i="9"/>
  <c r="N17" i="9"/>
  <c r="T16" i="9"/>
  <c r="S17" i="9"/>
  <c r="H83" i="6" l="1"/>
  <c r="K84" i="6" s="1"/>
  <c r="O17" i="9"/>
  <c r="N18" i="9"/>
  <c r="S18" i="9"/>
  <c r="T17" i="9"/>
  <c r="D18" i="9"/>
  <c r="E17" i="9"/>
  <c r="I16" i="9"/>
  <c r="J15" i="9"/>
  <c r="K90" i="6" l="1"/>
  <c r="E18" i="9"/>
  <c r="D19" i="9"/>
  <c r="S19" i="9"/>
  <c r="T18" i="9"/>
  <c r="O18" i="9"/>
  <c r="N19" i="9"/>
  <c r="J16" i="9"/>
  <c r="I17" i="9"/>
  <c r="I18" i="9" l="1"/>
  <c r="J17" i="9"/>
  <c r="S20" i="9"/>
  <c r="T19" i="9"/>
  <c r="D20" i="9"/>
  <c r="E19" i="9"/>
  <c r="O19" i="9"/>
  <c r="N20" i="9"/>
  <c r="O20" i="9" l="1"/>
  <c r="N21" i="9"/>
  <c r="S21" i="9"/>
  <c r="T20" i="9"/>
  <c r="E20" i="9"/>
  <c r="D21" i="9"/>
  <c r="J18" i="9"/>
  <c r="I19" i="9"/>
  <c r="E21" i="9" l="1"/>
  <c r="D22" i="9"/>
  <c r="J19" i="9"/>
  <c r="I20" i="9"/>
  <c r="S22" i="9"/>
  <c r="T21" i="9"/>
  <c r="O21" i="9"/>
  <c r="N22" i="9"/>
  <c r="O22" i="9" l="1"/>
  <c r="N23" i="9"/>
  <c r="I21" i="9"/>
  <c r="J20" i="9"/>
  <c r="E22" i="9"/>
  <c r="D23" i="9"/>
  <c r="S23" i="9"/>
  <c r="T22" i="9"/>
  <c r="S24" i="9" l="1"/>
  <c r="T23" i="9"/>
  <c r="D24" i="9"/>
  <c r="E23" i="9"/>
  <c r="J21" i="9"/>
  <c r="I22" i="9"/>
  <c r="O23" i="9"/>
  <c r="N24" i="9"/>
  <c r="O24" i="9" l="1"/>
  <c r="N25" i="9"/>
  <c r="I23" i="9"/>
  <c r="J22" i="9"/>
  <c r="E24" i="9"/>
  <c r="D25" i="9"/>
  <c r="S25" i="9"/>
  <c r="T24" i="9"/>
  <c r="S26" i="9" l="1"/>
  <c r="T25" i="9"/>
  <c r="D26" i="9"/>
  <c r="E25" i="9"/>
  <c r="I24" i="9"/>
  <c r="J23" i="9"/>
  <c r="O25" i="9"/>
  <c r="N26" i="9"/>
  <c r="O26" i="9" l="1"/>
  <c r="N27" i="9"/>
  <c r="I25" i="9"/>
  <c r="J24" i="9"/>
  <c r="D27" i="9"/>
  <c r="E26" i="9"/>
  <c r="S27" i="9"/>
  <c r="T26" i="9"/>
  <c r="S28" i="9" l="1"/>
  <c r="T27" i="9"/>
  <c r="E27" i="9"/>
  <c r="D28" i="9"/>
  <c r="J25" i="9"/>
  <c r="I26" i="9"/>
  <c r="O27" i="9"/>
  <c r="N28" i="9"/>
  <c r="O28" i="9" l="1"/>
  <c r="N29" i="9"/>
  <c r="I27" i="9"/>
  <c r="J26" i="9"/>
  <c r="D29" i="9"/>
  <c r="E28" i="9"/>
  <c r="S29" i="9"/>
  <c r="T28" i="9"/>
  <c r="S30" i="9" l="1"/>
  <c r="T29" i="9"/>
  <c r="E29" i="9"/>
  <c r="D30" i="9"/>
  <c r="J27" i="9"/>
  <c r="I28" i="9"/>
  <c r="O29" i="9"/>
  <c r="N30" i="9"/>
  <c r="O30" i="9" l="1"/>
  <c r="N31" i="9"/>
  <c r="I29" i="9"/>
  <c r="J28" i="9"/>
  <c r="D31" i="9"/>
  <c r="E30" i="9"/>
  <c r="S31" i="9"/>
  <c r="T30" i="9"/>
  <c r="S32" i="9" l="1"/>
  <c r="T31" i="9"/>
  <c r="D32" i="9"/>
  <c r="E31" i="9"/>
  <c r="AC55" i="8" s="1"/>
  <c r="I30" i="9"/>
  <c r="J29" i="9"/>
  <c r="O31" i="9"/>
  <c r="N32" i="9"/>
  <c r="O32" i="9" l="1"/>
  <c r="N33" i="9"/>
  <c r="J30" i="9"/>
  <c r="I31" i="9"/>
  <c r="AC113" i="8"/>
  <c r="AC117" i="8" s="1"/>
  <c r="BY55" i="8"/>
  <c r="D33" i="9"/>
  <c r="E32" i="9"/>
  <c r="S33" i="9"/>
  <c r="T32" i="9"/>
  <c r="I32" i="9" l="1"/>
  <c r="J31" i="9"/>
  <c r="AC56" i="8" s="1"/>
  <c r="S34" i="9"/>
  <c r="T33" i="9"/>
  <c r="O33" i="9"/>
  <c r="N34" i="9"/>
  <c r="D34" i="9"/>
  <c r="E33" i="9"/>
  <c r="S35" i="9" l="1"/>
  <c r="T34" i="9"/>
  <c r="O34" i="9"/>
  <c r="N35" i="9"/>
  <c r="I33" i="9"/>
  <c r="J32" i="9"/>
  <c r="AC128" i="8"/>
  <c r="AC131" i="8" s="1"/>
  <c r="BY56" i="8"/>
  <c r="BY54" i="8" s="1"/>
  <c r="AC144" i="8"/>
  <c r="AC54" i="8"/>
  <c r="D35" i="9"/>
  <c r="E34" i="9"/>
  <c r="AC132" i="8" l="1"/>
  <c r="AD132" i="8" s="1"/>
  <c r="AE132" i="8" s="1"/>
  <c r="AF132" i="8" s="1"/>
  <c r="AG132" i="8" s="1"/>
  <c r="AH132" i="8" s="1"/>
  <c r="AI132" i="8" s="1"/>
  <c r="AJ132" i="8" s="1"/>
  <c r="AK132" i="8" s="1"/>
  <c r="AL132" i="8" s="1"/>
  <c r="AM132" i="8" s="1"/>
  <c r="AN132" i="8" s="1"/>
  <c r="AO132" i="8" s="1"/>
  <c r="AP132" i="8" s="1"/>
  <c r="AQ132" i="8" s="1"/>
  <c r="AR132" i="8" s="1"/>
  <c r="AS132" i="8" s="1"/>
  <c r="AT132" i="8" s="1"/>
  <c r="AU132" i="8" s="1"/>
  <c r="AV132" i="8" s="1"/>
  <c r="AW132" i="8" s="1"/>
  <c r="AX132" i="8" s="1"/>
  <c r="AY132" i="8" s="1"/>
  <c r="AZ132" i="8" s="1"/>
  <c r="BA132" i="8" s="1"/>
  <c r="BB132" i="8" s="1"/>
  <c r="BC132" i="8" s="1"/>
  <c r="BD132" i="8" s="1"/>
  <c r="BE132" i="8" s="1"/>
  <c r="BF132" i="8" s="1"/>
  <c r="BG132" i="8" s="1"/>
  <c r="BH132" i="8" s="1"/>
  <c r="BI132" i="8" s="1"/>
  <c r="BJ132" i="8" s="1"/>
  <c r="BK132" i="8" s="1"/>
  <c r="BL132" i="8" s="1"/>
  <c r="BM132" i="8" s="1"/>
  <c r="BN132" i="8" s="1"/>
  <c r="BO132" i="8" s="1"/>
  <c r="BP132" i="8" s="1"/>
  <c r="BQ132" i="8" s="1"/>
  <c r="BR132" i="8" s="1"/>
  <c r="BS132" i="8" s="1"/>
  <c r="BT132" i="8" s="1"/>
  <c r="BU132" i="8" s="1"/>
  <c r="BV132" i="8" s="1"/>
  <c r="BW132" i="8" s="1"/>
  <c r="J33" i="9"/>
  <c r="I34" i="9"/>
  <c r="O35" i="9"/>
  <c r="N36" i="9"/>
  <c r="E35" i="9"/>
  <c r="D36" i="9"/>
  <c r="AC152" i="8"/>
  <c r="S36" i="9"/>
  <c r="T35" i="9"/>
  <c r="D37" i="9" l="1"/>
  <c r="E36" i="9"/>
  <c r="S37" i="9"/>
  <c r="T36" i="9"/>
  <c r="O36" i="9"/>
  <c r="N37" i="9"/>
  <c r="I35" i="9"/>
  <c r="J34" i="9"/>
  <c r="O37" i="9" l="1"/>
  <c r="N38" i="9"/>
  <c r="J35" i="9"/>
  <c r="I36" i="9"/>
  <c r="S38" i="9"/>
  <c r="T37" i="9"/>
  <c r="E37" i="9"/>
  <c r="D38" i="9"/>
  <c r="AI56" i="7" l="1"/>
  <c r="AI128" i="7" s="1"/>
  <c r="P37" i="9"/>
  <c r="E38" i="9"/>
  <c r="D39" i="9"/>
  <c r="S39" i="9"/>
  <c r="T38" i="9"/>
  <c r="I37" i="9"/>
  <c r="J36" i="9"/>
  <c r="O38" i="9"/>
  <c r="AJ128" i="7" s="1"/>
  <c r="N39" i="9"/>
  <c r="AI54" i="7" l="1"/>
  <c r="AI97" i="7" s="1"/>
  <c r="AI98" i="7" s="1"/>
  <c r="AI99" i="7" s="1"/>
  <c r="AI129" i="7" s="1"/>
  <c r="O39" i="9"/>
  <c r="N40" i="9"/>
  <c r="AJ54" i="7"/>
  <c r="AJ97" i="7" s="1"/>
  <c r="AJ98" i="7" s="1"/>
  <c r="BY56" i="7"/>
  <c r="I38" i="9"/>
  <c r="J37" i="9"/>
  <c r="S40" i="9"/>
  <c r="T39" i="9"/>
  <c r="D40" i="9"/>
  <c r="E39" i="9"/>
  <c r="D137" i="7" l="1"/>
  <c r="D138" i="7" s="1"/>
  <c r="AI131" i="7"/>
  <c r="AJ99" i="7"/>
  <c r="AK99" i="7" s="1"/>
  <c r="AL99" i="7" s="1"/>
  <c r="AM99" i="7" s="1"/>
  <c r="AN99" i="7" s="1"/>
  <c r="AO99" i="7" s="1"/>
  <c r="AP99" i="7" s="1"/>
  <c r="AQ99" i="7" s="1"/>
  <c r="AR99" i="7" s="1"/>
  <c r="AS99" i="7" s="1"/>
  <c r="AT99" i="7" s="1"/>
  <c r="AU99" i="7" s="1"/>
  <c r="AV99" i="7" s="1"/>
  <c r="AW99" i="7" s="1"/>
  <c r="AX99" i="7" s="1"/>
  <c r="AY99" i="7" s="1"/>
  <c r="AZ99" i="7" s="1"/>
  <c r="BA99" i="7" s="1"/>
  <c r="BB99" i="7" s="1"/>
  <c r="BC99" i="7" s="1"/>
  <c r="BD99" i="7" s="1"/>
  <c r="BE99" i="7" s="1"/>
  <c r="BF99" i="7" s="1"/>
  <c r="BG99" i="7" s="1"/>
  <c r="BH99" i="7" s="1"/>
  <c r="BI99" i="7" s="1"/>
  <c r="BJ99" i="7" s="1"/>
  <c r="BK99" i="7" s="1"/>
  <c r="BL99" i="7" s="1"/>
  <c r="BM99" i="7" s="1"/>
  <c r="BN99" i="7" s="1"/>
  <c r="BO99" i="7" s="1"/>
  <c r="BP99" i="7" s="1"/>
  <c r="BQ99" i="7" s="1"/>
  <c r="BR99" i="7" s="1"/>
  <c r="BS99" i="7" s="1"/>
  <c r="BT99" i="7" s="1"/>
  <c r="BU99" i="7" s="1"/>
  <c r="BV99" i="7" s="1"/>
  <c r="BW99" i="7" s="1"/>
  <c r="BX99" i="7" s="1"/>
  <c r="AI132" i="7"/>
  <c r="J38" i="9"/>
  <c r="I39" i="9"/>
  <c r="S41" i="9"/>
  <c r="T40" i="9"/>
  <c r="BY54" i="7"/>
  <c r="BZ18" i="7" s="1"/>
  <c r="BY89" i="7" s="1"/>
  <c r="BY98" i="7" s="1"/>
  <c r="F74" i="5"/>
  <c r="E40" i="9"/>
  <c r="D41" i="9"/>
  <c r="O40" i="9"/>
  <c r="N41" i="9"/>
  <c r="BX107" i="7" l="1"/>
  <c r="BX103" i="7"/>
  <c r="D104" i="7" s="1"/>
  <c r="AB50" i="8"/>
  <c r="AB48" i="8" s="1"/>
  <c r="AB97" i="8" s="1"/>
  <c r="AB98" i="8" s="1"/>
  <c r="T50" i="8"/>
  <c r="T48" i="8" s="1"/>
  <c r="T97" i="8" s="1"/>
  <c r="T98" i="8" s="1"/>
  <c r="AA50" i="8"/>
  <c r="AA48" i="8" s="1"/>
  <c r="AA97" i="8" s="1"/>
  <c r="AA98" i="8" s="1"/>
  <c r="S50" i="8"/>
  <c r="Z50" i="8"/>
  <c r="Z48" i="8" s="1"/>
  <c r="Z97" i="8" s="1"/>
  <c r="Z98" i="8" s="1"/>
  <c r="Y50" i="8"/>
  <c r="Y48" i="8" s="1"/>
  <c r="Y97" i="8" s="1"/>
  <c r="Y98" i="8" s="1"/>
  <c r="X50" i="8"/>
  <c r="X48" i="8" s="1"/>
  <c r="X97" i="8" s="1"/>
  <c r="X98" i="8" s="1"/>
  <c r="W50" i="8"/>
  <c r="W48" i="8" s="1"/>
  <c r="W97" i="8" s="1"/>
  <c r="W98" i="8" s="1"/>
  <c r="V50" i="8"/>
  <c r="V48" i="8" s="1"/>
  <c r="V97" i="8" s="1"/>
  <c r="V98" i="8" s="1"/>
  <c r="AC50" i="8"/>
  <c r="AC48" i="8" s="1"/>
  <c r="AC97" i="8" s="1"/>
  <c r="AC98" i="8" s="1"/>
  <c r="U50" i="8"/>
  <c r="U48" i="8" s="1"/>
  <c r="U97" i="8" s="1"/>
  <c r="U98" i="8" s="1"/>
  <c r="C78" i="5"/>
  <c r="O41" i="9"/>
  <c r="N42" i="9"/>
  <c r="D42" i="9"/>
  <c r="E41" i="9"/>
  <c r="S42" i="9"/>
  <c r="T41" i="9"/>
  <c r="I40" i="9"/>
  <c r="J39" i="9"/>
  <c r="AJ131" i="7"/>
  <c r="D133" i="7" s="1"/>
  <c r="AJ132" i="7" l="1"/>
  <c r="AK132" i="7" s="1"/>
  <c r="AL132" i="7" s="1"/>
  <c r="AM132" i="7" s="1"/>
  <c r="AN132" i="7" s="1"/>
  <c r="AO132" i="7" s="1"/>
  <c r="AP132" i="7" s="1"/>
  <c r="AQ132" i="7" s="1"/>
  <c r="AR132" i="7" s="1"/>
  <c r="AS132" i="7" s="1"/>
  <c r="AT132" i="7" s="1"/>
  <c r="AU132" i="7" s="1"/>
  <c r="AV132" i="7" s="1"/>
  <c r="AW132" i="7" s="1"/>
  <c r="AX132" i="7" s="1"/>
  <c r="AY132" i="7" s="1"/>
  <c r="AZ132" i="7" s="1"/>
  <c r="BA132" i="7" s="1"/>
  <c r="BB132" i="7" s="1"/>
  <c r="BC132" i="7" s="1"/>
  <c r="BD132" i="7" s="1"/>
  <c r="BE132" i="7" s="1"/>
  <c r="BF132" i="7" s="1"/>
  <c r="BG132" i="7" s="1"/>
  <c r="BH132" i="7" s="1"/>
  <c r="BI132" i="7" s="1"/>
  <c r="BJ132" i="7" s="1"/>
  <c r="BK132" i="7" s="1"/>
  <c r="BL132" i="7" s="1"/>
  <c r="BM132" i="7" s="1"/>
  <c r="BN132" i="7" s="1"/>
  <c r="BO132" i="7" s="1"/>
  <c r="BP132" i="7" s="1"/>
  <c r="BQ132" i="7" s="1"/>
  <c r="BR132" i="7" s="1"/>
  <c r="BS132" i="7" s="1"/>
  <c r="BT132" i="7" s="1"/>
  <c r="BU132" i="7" s="1"/>
  <c r="BV132" i="7" s="1"/>
  <c r="BW132" i="7" s="1"/>
  <c r="O42" i="9"/>
  <c r="N43" i="9"/>
  <c r="F79" i="5"/>
  <c r="C90" i="5"/>
  <c r="S43" i="9"/>
  <c r="T42" i="9"/>
  <c r="BX145" i="7"/>
  <c r="BX147" i="7" s="1"/>
  <c r="BX148" i="7" s="1"/>
  <c r="BX162" i="7"/>
  <c r="BX115" i="7"/>
  <c r="BX129" i="7"/>
  <c r="BX131" i="7" s="1"/>
  <c r="BX114" i="7"/>
  <c r="S48" i="8"/>
  <c r="S97" i="8" s="1"/>
  <c r="S98" i="8" s="1"/>
  <c r="S99" i="8" s="1"/>
  <c r="T99" i="8" s="1"/>
  <c r="U99" i="8" s="1"/>
  <c r="V99" i="8" s="1"/>
  <c r="W99" i="8" s="1"/>
  <c r="X99" i="8" s="1"/>
  <c r="Y99" i="8" s="1"/>
  <c r="Z99" i="8" s="1"/>
  <c r="AA99" i="8" s="1"/>
  <c r="AB99" i="8" s="1"/>
  <c r="AC99" i="8" s="1"/>
  <c r="BY50" i="8"/>
  <c r="BY48" i="8" s="1"/>
  <c r="BZ18" i="8" s="1"/>
  <c r="BY89" i="8" s="1"/>
  <c r="BY98" i="8" s="1"/>
  <c r="J40" i="9"/>
  <c r="I41" i="9"/>
  <c r="D43" i="9"/>
  <c r="E42" i="9"/>
  <c r="N21" i="5" l="1"/>
  <c r="D86" i="5"/>
  <c r="N22" i="5"/>
  <c r="AC145" i="8"/>
  <c r="AD99" i="8"/>
  <c r="AE99" i="8" s="1"/>
  <c r="AF99" i="8" s="1"/>
  <c r="AG99" i="8" s="1"/>
  <c r="AH99" i="8" s="1"/>
  <c r="AI99" i="8" s="1"/>
  <c r="AJ99" i="8" s="1"/>
  <c r="AK99" i="8" s="1"/>
  <c r="AL99" i="8" s="1"/>
  <c r="AM99" i="8" s="1"/>
  <c r="AN99" i="8" s="1"/>
  <c r="AO99" i="8" s="1"/>
  <c r="AP99" i="8" s="1"/>
  <c r="AQ99" i="8" s="1"/>
  <c r="AR99" i="8" s="1"/>
  <c r="AS99" i="8" s="1"/>
  <c r="AT99" i="8" s="1"/>
  <c r="AU99" i="8" s="1"/>
  <c r="AV99" i="8" s="1"/>
  <c r="AW99" i="8" s="1"/>
  <c r="AX99" i="8" s="1"/>
  <c r="AY99" i="8" s="1"/>
  <c r="AZ99" i="8" s="1"/>
  <c r="BA99" i="8" s="1"/>
  <c r="BB99" i="8" s="1"/>
  <c r="BC99" i="8" s="1"/>
  <c r="BD99" i="8" s="1"/>
  <c r="BE99" i="8" s="1"/>
  <c r="BF99" i="8" s="1"/>
  <c r="BG99" i="8" s="1"/>
  <c r="BH99" i="8" s="1"/>
  <c r="BI99" i="8" s="1"/>
  <c r="BJ99" i="8" s="1"/>
  <c r="BK99" i="8" s="1"/>
  <c r="BL99" i="8" s="1"/>
  <c r="BM99" i="8" s="1"/>
  <c r="BN99" i="8" s="1"/>
  <c r="BO99" i="8" s="1"/>
  <c r="BP99" i="8" s="1"/>
  <c r="BQ99" i="8" s="1"/>
  <c r="BR99" i="8" s="1"/>
  <c r="BS99" i="8" s="1"/>
  <c r="BT99" i="8" s="1"/>
  <c r="BU99" i="8" s="1"/>
  <c r="BV99" i="8" s="1"/>
  <c r="BW99" i="8" s="1"/>
  <c r="BX99" i="8" s="1"/>
  <c r="BX117" i="7"/>
  <c r="D118" i="7" s="1"/>
  <c r="D121" i="7"/>
  <c r="D122" i="7" s="1"/>
  <c r="C92" i="5"/>
  <c r="D87" i="5"/>
  <c r="N28" i="5"/>
  <c r="M37" i="5" s="1"/>
  <c r="S44" i="9"/>
  <c r="T43" i="9"/>
  <c r="D170" i="7"/>
  <c r="D171" i="7" s="1"/>
  <c r="BX164" i="7"/>
  <c r="O43" i="9"/>
  <c r="N44" i="9"/>
  <c r="J41" i="9"/>
  <c r="I42" i="9"/>
  <c r="BX132" i="7"/>
  <c r="E43" i="9"/>
  <c r="D44" i="9"/>
  <c r="N42" i="5" l="1"/>
  <c r="S45" i="9"/>
  <c r="T44" i="9"/>
  <c r="O44" i="9"/>
  <c r="N45" i="9"/>
  <c r="I43" i="9"/>
  <c r="J42" i="9"/>
  <c r="N39" i="5"/>
  <c r="N40" i="5"/>
  <c r="D166" i="7"/>
  <c r="BX165" i="7"/>
  <c r="D45" i="9"/>
  <c r="E44" i="9"/>
  <c r="BX107" i="8"/>
  <c r="BX103" i="8"/>
  <c r="D104" i="8" s="1"/>
  <c r="D153" i="8"/>
  <c r="AC147" i="8"/>
  <c r="O45" i="9" l="1"/>
  <c r="N46" i="9"/>
  <c r="E45" i="9"/>
  <c r="D46" i="9"/>
  <c r="BX162" i="8"/>
  <c r="BX115" i="8"/>
  <c r="BX145" i="8"/>
  <c r="BX147" i="8" s="1"/>
  <c r="BX129" i="8"/>
  <c r="BX114" i="8"/>
  <c r="J43" i="9"/>
  <c r="I44" i="9"/>
  <c r="D149" i="8"/>
  <c r="AC148" i="8"/>
  <c r="S46" i="9"/>
  <c r="T45" i="9"/>
  <c r="S47" i="9" l="1"/>
  <c r="T46" i="9"/>
  <c r="AD148" i="8"/>
  <c r="AE148" i="8" s="1"/>
  <c r="AF148" i="8" s="1"/>
  <c r="AG148" i="8" s="1"/>
  <c r="AH148" i="8" s="1"/>
  <c r="AI148" i="8" s="1"/>
  <c r="AJ148" i="8" s="1"/>
  <c r="AK148" i="8" s="1"/>
  <c r="AL148" i="8" s="1"/>
  <c r="AM148" i="8" s="1"/>
  <c r="AN148" i="8" s="1"/>
  <c r="AO148" i="8" s="1"/>
  <c r="AP148" i="8" s="1"/>
  <c r="AQ148" i="8" s="1"/>
  <c r="AR148" i="8" s="1"/>
  <c r="AS148" i="8" s="1"/>
  <c r="AT148" i="8" s="1"/>
  <c r="AU148" i="8" s="1"/>
  <c r="AV148" i="8" s="1"/>
  <c r="AW148" i="8" s="1"/>
  <c r="AX148" i="8" s="1"/>
  <c r="AY148" i="8" s="1"/>
  <c r="AZ148" i="8" s="1"/>
  <c r="BA148" i="8" s="1"/>
  <c r="BB148" i="8" s="1"/>
  <c r="BC148" i="8" s="1"/>
  <c r="BD148" i="8" s="1"/>
  <c r="BE148" i="8" s="1"/>
  <c r="BF148" i="8" s="1"/>
  <c r="BG148" i="8" s="1"/>
  <c r="BH148" i="8" s="1"/>
  <c r="BI148" i="8" s="1"/>
  <c r="BJ148" i="8" s="1"/>
  <c r="BK148" i="8" s="1"/>
  <c r="BL148" i="8" s="1"/>
  <c r="BM148" i="8" s="1"/>
  <c r="BN148" i="8" s="1"/>
  <c r="BO148" i="8" s="1"/>
  <c r="BP148" i="8" s="1"/>
  <c r="BQ148" i="8" s="1"/>
  <c r="BR148" i="8" s="1"/>
  <c r="BS148" i="8" s="1"/>
  <c r="BT148" i="8" s="1"/>
  <c r="BU148" i="8" s="1"/>
  <c r="BV148" i="8" s="1"/>
  <c r="BW148" i="8" s="1"/>
  <c r="BX148" i="8" s="1"/>
  <c r="D170" i="8"/>
  <c r="D171" i="8" s="1"/>
  <c r="BX164" i="8"/>
  <c r="D121" i="8"/>
  <c r="D122" i="8" s="1"/>
  <c r="BX117" i="8"/>
  <c r="D118" i="8" s="1"/>
  <c r="D47" i="9"/>
  <c r="E46" i="9"/>
  <c r="I45" i="9"/>
  <c r="J44" i="9"/>
  <c r="O46" i="9"/>
  <c r="N47" i="9"/>
  <c r="D137" i="8"/>
  <c r="D138" i="8" s="1"/>
  <c r="BX131" i="8"/>
  <c r="D166" i="8" l="1"/>
  <c r="BX165" i="8"/>
  <c r="D133" i="8"/>
  <c r="BX132" i="8"/>
  <c r="O47" i="9"/>
  <c r="N48" i="9"/>
  <c r="D150" i="8"/>
  <c r="D152" i="8" s="1"/>
  <c r="D154" i="8" s="1"/>
  <c r="I46" i="9"/>
  <c r="J45" i="9"/>
  <c r="D48" i="9"/>
  <c r="E47" i="9"/>
  <c r="S48" i="9"/>
  <c r="T47" i="9"/>
  <c r="O48" i="9" l="1"/>
  <c r="N49" i="9"/>
  <c r="S49" i="9"/>
  <c r="T48" i="9"/>
  <c r="E48" i="9"/>
  <c r="D49" i="9"/>
  <c r="J46" i="9"/>
  <c r="I47" i="9"/>
  <c r="I48" i="9" l="1"/>
  <c r="J47" i="9"/>
  <c r="D50" i="9"/>
  <c r="E49" i="9"/>
  <c r="S50" i="9"/>
  <c r="T49" i="9"/>
  <c r="O49" i="9"/>
  <c r="N50" i="9"/>
  <c r="O50" i="9" l="1"/>
  <c r="N51" i="9"/>
  <c r="S51" i="9"/>
  <c r="T50" i="9"/>
  <c r="D51" i="9"/>
  <c r="E50" i="9"/>
  <c r="J48" i="9"/>
  <c r="I49" i="9"/>
  <c r="J49" i="9" l="1"/>
  <c r="I50" i="9"/>
  <c r="E51" i="9"/>
  <c r="D52" i="9"/>
  <c r="S52" i="9"/>
  <c r="T51" i="9"/>
  <c r="O51" i="9"/>
  <c r="N52" i="9"/>
  <c r="O52" i="9" l="1"/>
  <c r="N53" i="9"/>
  <c r="S53" i="9"/>
  <c r="T52" i="9"/>
  <c r="D53" i="9"/>
  <c r="E52" i="9"/>
  <c r="I51" i="9"/>
  <c r="J50" i="9"/>
  <c r="J51" i="9" l="1"/>
  <c r="I52" i="9"/>
  <c r="E53" i="9"/>
  <c r="D54" i="9"/>
  <c r="S54" i="9"/>
  <c r="T53" i="9"/>
  <c r="O53" i="9"/>
  <c r="N54" i="9"/>
  <c r="O54" i="9" l="1"/>
  <c r="N55" i="9"/>
  <c r="S55" i="9"/>
  <c r="T54" i="9"/>
  <c r="D55" i="9"/>
  <c r="E54" i="9"/>
  <c r="I53" i="9"/>
  <c r="J52" i="9"/>
  <c r="I54" i="9" l="1"/>
  <c r="J53" i="9"/>
  <c r="D56" i="9"/>
  <c r="E55" i="9"/>
  <c r="S56" i="9"/>
  <c r="T55" i="9"/>
  <c r="O55" i="9"/>
  <c r="N56" i="9"/>
  <c r="O56" i="9" l="1"/>
  <c r="N57" i="9"/>
  <c r="S57" i="9"/>
  <c r="T56" i="9"/>
  <c r="E56" i="9"/>
  <c r="D57" i="9"/>
  <c r="J54" i="9"/>
  <c r="I55" i="9"/>
  <c r="I56" i="9" l="1"/>
  <c r="J55" i="9"/>
  <c r="D58" i="9"/>
  <c r="E57" i="9"/>
  <c r="S58" i="9"/>
  <c r="T57" i="9"/>
  <c r="O57" i="9"/>
  <c r="N58" i="9"/>
  <c r="O58" i="9" l="1"/>
  <c r="N59" i="9"/>
  <c r="S59" i="9"/>
  <c r="T58" i="9"/>
  <c r="D59" i="9"/>
  <c r="E58" i="9"/>
  <c r="J56" i="9"/>
  <c r="I57" i="9"/>
  <c r="J57" i="9" l="1"/>
  <c r="I58" i="9"/>
  <c r="E59" i="9"/>
  <c r="D60" i="9"/>
  <c r="S60" i="9"/>
  <c r="T59" i="9"/>
  <c r="O59" i="9"/>
  <c r="N60" i="9"/>
  <c r="O60" i="9" l="1"/>
  <c r="N61" i="9"/>
  <c r="S61" i="9"/>
  <c r="T60" i="9"/>
  <c r="D61" i="9"/>
  <c r="E60" i="9"/>
  <c r="I59" i="9"/>
  <c r="J58" i="9"/>
  <c r="J59" i="9" l="1"/>
  <c r="I60" i="9"/>
  <c r="E61" i="9"/>
  <c r="D62" i="9"/>
  <c r="S62" i="9"/>
  <c r="T61" i="9"/>
  <c r="O61" i="9"/>
  <c r="N62" i="9"/>
  <c r="O62" i="9" l="1"/>
  <c r="N63" i="9"/>
  <c r="S63" i="9"/>
  <c r="T62" i="9"/>
  <c r="D63" i="9"/>
  <c r="E62" i="9"/>
  <c r="I61" i="9"/>
  <c r="J60" i="9"/>
  <c r="I62" i="9" l="1"/>
  <c r="J61" i="9"/>
  <c r="D64" i="9"/>
  <c r="E63" i="9"/>
  <c r="S64" i="9"/>
  <c r="T63" i="9"/>
  <c r="O63" i="9"/>
  <c r="N64" i="9"/>
  <c r="O64" i="9" l="1"/>
  <c r="N65" i="9"/>
  <c r="S65" i="9"/>
  <c r="T64" i="9"/>
  <c r="E64" i="9"/>
  <c r="D65" i="9"/>
  <c r="J62" i="9"/>
  <c r="I63" i="9"/>
  <c r="I64" i="9" l="1"/>
  <c r="J63" i="9"/>
  <c r="D66" i="9"/>
  <c r="E65" i="9"/>
  <c r="S66" i="9"/>
  <c r="T65" i="9"/>
  <c r="O65" i="9"/>
  <c r="N66" i="9"/>
  <c r="O66" i="9" l="1"/>
  <c r="N67" i="9"/>
  <c r="S67" i="9"/>
  <c r="T66" i="9"/>
  <c r="E66" i="9"/>
  <c r="D67" i="9"/>
  <c r="I65" i="9"/>
  <c r="J64" i="9"/>
  <c r="J65" i="9" l="1"/>
  <c r="I66" i="9"/>
  <c r="E67" i="9"/>
  <c r="D68" i="9"/>
  <c r="S68" i="9"/>
  <c r="T67" i="9"/>
  <c r="O67" i="9"/>
  <c r="N68" i="9"/>
  <c r="O68" i="9" l="1"/>
  <c r="N69" i="9"/>
  <c r="S69" i="9"/>
  <c r="T68" i="9"/>
  <c r="D69" i="9"/>
  <c r="E68" i="9"/>
  <c r="I67" i="9"/>
  <c r="J66" i="9"/>
  <c r="J67" i="9" l="1"/>
  <c r="I68" i="9"/>
  <c r="E69" i="9"/>
  <c r="D70" i="9"/>
  <c r="S70" i="9"/>
  <c r="T69" i="9"/>
  <c r="O69" i="9"/>
  <c r="N70" i="9"/>
  <c r="O70" i="9" l="1"/>
  <c r="N71" i="9"/>
  <c r="S71" i="9"/>
  <c r="T70" i="9"/>
  <c r="D71" i="9"/>
  <c r="E70" i="9"/>
  <c r="I69" i="9"/>
  <c r="J68" i="9"/>
  <c r="I70" i="9" l="1"/>
  <c r="J69" i="9"/>
  <c r="D72" i="9"/>
  <c r="E71" i="9"/>
  <c r="S72" i="9"/>
  <c r="T71" i="9"/>
  <c r="O71" i="9"/>
  <c r="N72" i="9"/>
  <c r="O72" i="9" l="1"/>
  <c r="N73" i="9"/>
  <c r="S73" i="9"/>
  <c r="T72" i="9"/>
  <c r="E72" i="9"/>
  <c r="D73" i="9"/>
  <c r="J70" i="9"/>
  <c r="I71" i="9"/>
  <c r="I72" i="9" l="1"/>
  <c r="J71" i="9"/>
  <c r="D74" i="9"/>
  <c r="E73" i="9"/>
  <c r="S74" i="9"/>
  <c r="T73" i="9"/>
  <c r="O73" i="9"/>
  <c r="N74" i="9"/>
  <c r="O74" i="9" l="1"/>
  <c r="N75" i="9"/>
  <c r="S75" i="9"/>
  <c r="T74" i="9"/>
  <c r="E74" i="9"/>
  <c r="D75" i="9"/>
  <c r="I73" i="9"/>
  <c r="J72" i="9"/>
  <c r="J73" i="9" l="1"/>
  <c r="I74" i="9"/>
  <c r="E75" i="9"/>
  <c r="D76" i="9"/>
  <c r="S76" i="9"/>
  <c r="T75" i="9"/>
  <c r="O75" i="9"/>
  <c r="N76" i="9"/>
  <c r="O76" i="9" l="1"/>
  <c r="N77" i="9"/>
  <c r="S77" i="9"/>
  <c r="T76" i="9"/>
  <c r="D77" i="9"/>
  <c r="E76" i="9"/>
  <c r="I75" i="9"/>
  <c r="J74" i="9"/>
  <c r="J75" i="9" l="1"/>
  <c r="I76" i="9"/>
  <c r="E77" i="9"/>
  <c r="D78" i="9"/>
  <c r="S78" i="9"/>
  <c r="T77" i="9"/>
  <c r="O77" i="9"/>
  <c r="N78" i="9"/>
  <c r="O78" i="9" l="1"/>
  <c r="N79" i="9"/>
  <c r="O79" i="9" s="1"/>
  <c r="S79" i="9"/>
  <c r="T79" i="9" s="1"/>
  <c r="T78" i="9"/>
  <c r="D79" i="9"/>
  <c r="E79" i="9" s="1"/>
  <c r="E78" i="9"/>
  <c r="J76" i="9"/>
  <c r="I77" i="9"/>
  <c r="I78" i="9" l="1"/>
  <c r="J77" i="9"/>
  <c r="J78" i="9" l="1"/>
  <c r="I79" i="9"/>
  <c r="J7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tc={7D447223-A9C0-E342-A430-A6780CB69971}</author>
  </authors>
  <commentList>
    <comment ref="C4" authorId="0" shapeId="0" xr:uid="{C911B51D-522A-8647-9A8A-170093E762B5}">
      <text>
        <r>
          <rPr>
            <sz val="11"/>
            <color rgb="FF000000"/>
            <rFont val="Arial"/>
            <family val="2"/>
          </rPr>
          <t xml:space="preserve">úprava ze 596m2 na 591
</t>
        </r>
        <r>
          <rPr>
            <sz val="11"/>
            <color rgb="FF000000"/>
            <rFont val="Arial"/>
            <family val="2"/>
          </rPr>
          <t xml:space="preserve">	-Vilma Taborová</t>
        </r>
      </text>
    </comment>
    <comment ref="E8" authorId="1" shapeId="0" xr:uid="{7D447223-A9C0-E342-A430-A6780CB69971}">
      <text>
        <t>[Threaded comment]
Your version of Excel allows you to read this threaded comment; however, any edits to it will get removed if the file is opened in a newer version of Excel. Learn more: https://go.microsoft.com/fwlink/?linkid=870924
Comment:
    Zřejmě neuzavřená NS, navýším nájem ba obvyklých 45, pokud nebude souhlasit obsadím jiným trafikantem</t>
      </text>
    </comment>
  </commentList>
</comments>
</file>

<file path=xl/sharedStrings.xml><?xml version="1.0" encoding="utf-8"?>
<sst xmlns="http://schemas.openxmlformats.org/spreadsheetml/2006/main" count="1079" uniqueCount="512">
  <si>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</si>
  <si>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</si>
  <si>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</si>
  <si>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</si>
  <si>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</si>
  <si>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</si>
  <si>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</si>
  <si>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</si>
  <si>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</si>
  <si>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</si>
  <si>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</si>
  <si>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</si>
  <si>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</si>
  <si>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</si>
  <si>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</si>
  <si>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</si>
  <si>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</si>
  <si>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</si>
  <si>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</si>
  <si>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Billa</t>
  </si>
  <si>
    <t>měsíčně</t>
  </si>
  <si>
    <t>full fit-out</t>
  </si>
  <si>
    <t>Benu</t>
  </si>
  <si>
    <t>pozemek</t>
  </si>
  <si>
    <t>Style</t>
  </si>
  <si>
    <t>Teta</t>
  </si>
  <si>
    <t>Sinsay</t>
  </si>
  <si>
    <t>Pepco</t>
  </si>
  <si>
    <t>Valmont/Traficon</t>
  </si>
  <si>
    <t>Bistro</t>
  </si>
  <si>
    <t>Zbytek 1</t>
  </si>
  <si>
    <t>Salon</t>
  </si>
  <si>
    <t>CELKEM, rok</t>
  </si>
  <si>
    <t>CHECK</t>
  </si>
  <si>
    <t>Celkova plocha</t>
  </si>
  <si>
    <t>Celkovy najem rok</t>
  </si>
  <si>
    <t>Pozdovana zastavitelnost</t>
  </si>
  <si>
    <t>Kurz EUR/CZK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</si>
  <si>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</si>
  <si>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</si>
  <si>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</si>
  <si>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</si>
  <si>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</si>
  <si>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</si>
  <si>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</si>
  <si>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</si>
  <si>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</si>
  <si>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</si>
  <si>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</si>
  <si>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</si>
  <si>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</si>
  <si>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</si>
  <si>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</si>
  <si>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</si>
  <si>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</si>
  <si>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</si>
  <si>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</si>
  <si>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</si>
  <si>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</si>
  <si>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</si>
  <si>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</si>
  <si>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</si>
  <si>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</si>
  <si>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</si>
  <si>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</si>
  <si>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</si>
  <si>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</si>
  <si>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</si>
  <si>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</si>
  <si>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</si>
  <si>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/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</si>
  <si>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</si>
  <si>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</si>
  <si>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</si>
  <si>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</si>
  <si>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</si>
  <si>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</si>
  <si>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</si>
  <si>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</si>
  <si>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</si>
  <si>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</si>
  <si>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</si>
  <si>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</si>
  <si>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</si>
  <si>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sevis fix</t>
  </si>
  <si>
    <t>Kč celkem</t>
  </si>
  <si>
    <t>Analýza pozemků</t>
  </si>
  <si>
    <t>kpl</t>
  </si>
  <si>
    <t>Připrava projektu</t>
  </si>
  <si>
    <t xml:space="preserve">Územní rozhodnutí </t>
  </si>
  <si>
    <t>vyjadřovaní DOSS</t>
  </si>
  <si>
    <t>pct</t>
  </si>
  <si>
    <t xml:space="preserve">Stavební povolení 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</si>
  <si>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</si>
  <si>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</si>
  <si>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</si>
  <si>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</si>
  <si>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</si>
  <si>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</si>
  <si>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Jednotka</t>
  </si>
  <si>
    <t>JC</t>
  </si>
  <si>
    <t>Celkem plocha m2</t>
  </si>
  <si>
    <t>Průměr</t>
  </si>
  <si>
    <t>Retail park</t>
  </si>
  <si>
    <t>Celkem výnosy GRI (rok)</t>
  </si>
  <si>
    <t>ZSPD</t>
  </si>
  <si>
    <t>YIELD Development</t>
  </si>
  <si>
    <t>Potřeba &gt;8%</t>
  </si>
  <si>
    <t>Prime YIELD</t>
  </si>
  <si>
    <t>OPEX</t>
  </si>
  <si>
    <t>JIMKA</t>
  </si>
  <si>
    <t>YIELD Market</t>
  </si>
  <si>
    <t>C.</t>
  </si>
  <si>
    <t>Prodejce</t>
  </si>
  <si>
    <t>Daň z zisků(prodej pozemek rez.)</t>
  </si>
  <si>
    <t>LCGT discount</t>
  </si>
  <si>
    <t>Prodej pozemku (% plochy)</t>
  </si>
  <si>
    <t>Shell &amp; Core</t>
  </si>
  <si>
    <t xml:space="preserve">Prodejní cena pozemek </t>
  </si>
  <si>
    <t>Komunikace</t>
  </si>
  <si>
    <t xml:space="preserve">Prodejní cena retail </t>
  </si>
  <si>
    <t>HTU</t>
  </si>
  <si>
    <t>Prodejní cena celkem</t>
  </si>
  <si>
    <t>Vynucené investice</t>
  </si>
  <si>
    <t>Net profit</t>
  </si>
  <si>
    <t>Marže</t>
  </si>
  <si>
    <t>Marže na nákladech</t>
  </si>
  <si>
    <t>Motivační složka developera</t>
  </si>
  <si>
    <t>Čistá marže na equity</t>
  </si>
  <si>
    <t>D.</t>
  </si>
  <si>
    <t>E.</t>
  </si>
  <si>
    <t>Projektové řízení - realizace</t>
  </si>
  <si>
    <t>Projektové řízení - realizace (Kontr. fakturace, pozastávek a evidence dokladů, vedení KD)</t>
  </si>
  <si>
    <t>KooBOZP</t>
  </si>
  <si>
    <t>cost management VŘ GD</t>
  </si>
  <si>
    <t>ptc</t>
  </si>
  <si>
    <t>month</t>
  </si>
  <si>
    <t>F.</t>
  </si>
  <si>
    <t>Úrokové náklady EQUITY</t>
  </si>
  <si>
    <t>p.a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</si>
  <si>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</si>
  <si>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</si>
  <si>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</si>
  <si>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</si>
  <si>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</si>
  <si>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</si>
  <si>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</si>
  <si>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</si>
  <si>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LEKVI/Odry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</si>
  <si>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</si>
  <si>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</si>
  <si>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</si>
  <si>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</si>
  <si>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</si>
  <si>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</si>
  <si>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</si>
  <si>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fee</t>
  </si>
  <si>
    <t>int</t>
  </si>
  <si>
    <t>ext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</si>
  <si>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</si>
  <si>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</si>
  <si>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</si>
  <si>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</si>
  <si>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</si>
  <si>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</si>
  <si>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</si>
  <si>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4 118</t>
  </si>
  <si>
    <t>26 274 Kč</t>
  </si>
  <si>
    <t>3.</t>
  </si>
  <si>
    <t>PROFESSIONAL FEES</t>
  </si>
  <si>
    <t>design, engineering</t>
  </si>
  <si>
    <t>engineering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</si>
  <si>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</si>
  <si>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</si>
  <si>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</si>
  <si>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</si>
  <si>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</si>
  <si>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</si>
  <si>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</si>
  <si>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</si>
  <si>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</si>
  <si>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</si>
  <si>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</si>
  <si>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</si>
  <si>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</si>
  <si>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</si>
  <si>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</si>
  <si>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</si>
  <si>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</si>
  <si>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</si>
  <si>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</si>
  <si>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</si>
  <si>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</si>
  <si>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</si>
  <si>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</si>
  <si>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</si>
  <si>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</si>
  <si>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</si>
  <si>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3 922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</si>
  <si>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</si>
  <si>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</si>
  <si>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</si>
  <si>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</si>
  <si>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</si>
  <si>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</si>
  <si>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</si>
  <si>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</si>
  <si>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</si>
  <si>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</si>
  <si>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</si>
  <si>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</si>
  <si>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</si>
  <si>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</si>
  <si>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</si>
  <si>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</si>
  <si>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</si>
  <si>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</si>
  <si>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</si>
  <si>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</si>
  <si>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</si>
  <si>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</si>
  <si>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</si>
  <si>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</si>
  <si>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</si>
  <si>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</si>
  <si>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>acquisition fee</t>
  </si>
  <si>
    <t>letting fee</t>
  </si>
  <si>
    <t>fákt ke dni</t>
  </si>
  <si>
    <t>Cash -flow</t>
  </si>
  <si>
    <t>Součet</t>
  </si>
  <si>
    <t>param</t>
  </si>
  <si>
    <t>kol</t>
  </si>
  <si>
    <t>Vlastní zdroje</t>
  </si>
  <si>
    <t>Lekvi Development s.r.o.</t>
  </si>
  <si>
    <t>(+)</t>
  </si>
  <si>
    <t>Equity 1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</si>
  <si>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</si>
  <si>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</si>
  <si>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</si>
  <si>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</si>
  <si>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</si>
  <si>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</si>
  <si>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</si>
  <si>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</si>
  <si>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</si>
  <si>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</si>
  <si>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</si>
  <si>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</si>
  <si>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</si>
  <si>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</si>
  <si>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</si>
  <si>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</si>
  <si>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</si>
  <si>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</si>
  <si>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</si>
  <si>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</si>
  <si>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Business-angel loan fee</t>
  </si>
  <si>
    <t>B. Architecture &amp; Engineering</t>
  </si>
  <si>
    <t>Projekt , architekt</t>
  </si>
  <si>
    <t>Engineering</t>
  </si>
  <si>
    <t>C. Constructions costs</t>
  </si>
  <si>
    <t>Náklady na realizace stavby (Shell and core)</t>
  </si>
  <si>
    <t>Bourací práce</t>
  </si>
  <si>
    <t>Rekonstrukční náklady</t>
  </si>
  <si>
    <t>Náklady na inženýrské sítě</t>
  </si>
  <si>
    <t>Operativní náklady spojené s realizaci stavby</t>
  </si>
  <si>
    <t>TDI / BOZP</t>
  </si>
  <si>
    <t>Rezerva</t>
  </si>
  <si>
    <t>D. Tenant improvements</t>
  </si>
  <si>
    <t>Tenant improvement</t>
  </si>
  <si>
    <t>Tenant contribution</t>
  </si>
  <si>
    <t>E. Soft costs</t>
  </si>
  <si>
    <t>Project management (Interní)</t>
  </si>
  <si>
    <t>Project management (Externí)</t>
  </si>
  <si>
    <t>Administrativní náklady</t>
  </si>
  <si>
    <t>Ostatní náklady</t>
  </si>
  <si>
    <t>Právní služby</t>
  </si>
  <si>
    <t>Letting fee</t>
  </si>
  <si>
    <t>F. Financial costs</t>
  </si>
  <si>
    <t>Poplatky za zpracování úvěru</t>
  </si>
  <si>
    <t>Poplatek za přístav</t>
  </si>
  <si>
    <t>Úrokové náklady</t>
  </si>
  <si>
    <t>Bankovní poplatky</t>
  </si>
  <si>
    <t>Daně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</si>
  <si>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</si>
  <si>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</si>
  <si>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</si>
  <si>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</si>
  <si>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</si>
  <si>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</si>
  <si>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</si>
  <si>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</si>
  <si>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</si>
  <si>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</si>
  <si>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</si>
  <si>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</si>
  <si>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</si>
  <si>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</si>
  <si>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</si>
  <si>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</si>
  <si>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</si>
  <si>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</si>
  <si>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</si>
  <si>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</si>
  <si>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</si>
  <si>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</si>
  <si>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</si>
  <si>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</si>
  <si>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</si>
  <si>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</si>
  <si>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</si>
  <si>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</si>
  <si>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</si>
  <si>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</si>
  <si>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</si>
  <si>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</si>
  <si>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</si>
  <si>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</si>
  <si>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</si>
  <si>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</si>
  <si>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</si>
  <si>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</si>
  <si>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</si>
  <si>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</si>
  <si>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</si>
  <si>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</si>
  <si>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</si>
  <si>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</si>
  <si>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</si>
  <si>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</si>
  <si>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</si>
  <si>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</si>
  <si>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</si>
  <si>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</si>
  <si>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</si>
  <si>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</si>
  <si>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</si>
  <si>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</si>
  <si>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</si>
  <si>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</si>
  <si>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</si>
  <si>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</si>
  <si>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</si>
  <si>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</si>
  <si>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</si>
  <si>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</si>
  <si>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</si>
  <si>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Cost manager</t>
  </si>
  <si>
    <t>Koordinátor BOZP</t>
  </si>
  <si>
    <t>Marketing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</si>
  <si>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</si>
  <si>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</si>
  <si>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</si>
  <si>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</si>
  <si>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</si>
  <si>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</si>
  <si>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</si>
  <si>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</si>
  <si>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</si>
  <si>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</si>
  <si>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</si>
  <si>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</si>
  <si>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</si>
  <si>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</si>
  <si>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</si>
  <si>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</si>
  <si>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</si>
  <si>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</si>
  <si>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</si>
  <si>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</si>
  <si>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</si>
  <si>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</si>
  <si>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</si>
  <si>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</si>
  <si>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realizace cost management controling/měsíc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</si>
  <si>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</si>
  <si>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</si>
  <si>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</si>
  <si>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</si>
  <si>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</si>
  <si>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</si>
  <si>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cena pozemka</t>
  </si>
  <si>
    <t>Div to Versitas</t>
  </si>
  <si>
    <t>Projekt SP</t>
  </si>
  <si>
    <t>POdil</t>
  </si>
  <si>
    <t xml:space="preserve">Share </t>
  </si>
  <si>
    <t>ODRY</t>
  </si>
  <si>
    <t>Společnost:</t>
  </si>
  <si>
    <t>SIS Systémy a.s.</t>
  </si>
  <si>
    <t>CASTA</t>
  </si>
  <si>
    <t>RELYCON</t>
  </si>
  <si>
    <t>JTA</t>
  </si>
  <si>
    <t>IMOS</t>
  </si>
  <si>
    <t>AGILE</t>
  </si>
  <si>
    <t>HSF SYSTEM</t>
  </si>
  <si>
    <t>HAMPR</t>
  </si>
  <si>
    <t>SASYN</t>
  </si>
  <si>
    <t>Pozice</t>
  </si>
  <si>
    <t>Popis</t>
  </si>
  <si>
    <t>Cena</t>
  </si>
  <si>
    <t>Venkovní objekty</t>
  </si>
  <si>
    <t>Venkovní objekty - Dopravní připojení</t>
  </si>
  <si>
    <t>dlePD,vceně1.3</t>
  </si>
  <si>
    <t>Venkovní objekty - HTÚ + příprava území</t>
  </si>
  <si>
    <t>Venkovní objekty - Areálové komunikace</t>
  </si>
  <si>
    <t>Venkovní objekty - Splašková kanalizace</t>
  </si>
  <si>
    <t>Venkovní objekty - Dešťová kanalizace včetně zaolejované</t>
  </si>
  <si>
    <t>Venkovní objekty - Vodovod, požární nádrž</t>
  </si>
  <si>
    <t>Venkovní objekty - Stavební příprava pro trafostanici Billa</t>
  </si>
  <si>
    <t>Venkovní objekty - Přípojka a rozvody NN a VO</t>
  </si>
  <si>
    <t>vceně</t>
  </si>
  <si>
    <t>Venkovní objekty - Přípojka Cetin</t>
  </si>
  <si>
    <t>Venkovní objekty - Reklamní zařízení - pylony a informační tabule</t>
  </si>
  <si>
    <t>Venkovní objekty - Sadové úpravy</t>
  </si>
  <si>
    <t>Odpadové hospodářství</t>
  </si>
  <si>
    <t>1.13</t>
  </si>
  <si>
    <t>Propustek pro vodoteč</t>
  </si>
  <si>
    <t>Objekt</t>
  </si>
  <si>
    <t>Založení</t>
  </si>
  <si>
    <t>Sklet prefa</t>
  </si>
  <si>
    <t>Ocelové konstrukce</t>
  </si>
  <si>
    <t>Opláštění</t>
  </si>
  <si>
    <t>Střecha</t>
  </si>
  <si>
    <t>Drátkobetonová deska včetně podloží</t>
  </si>
  <si>
    <t>Stavebně-technické práce</t>
  </si>
  <si>
    <t>Výplně otvorů</t>
  </si>
  <si>
    <t>Ležatá kanalizace</t>
  </si>
  <si>
    <t>vceněVZT</t>
  </si>
  <si>
    <t>ZTI</t>
  </si>
  <si>
    <t>UT</t>
  </si>
  <si>
    <t>VZT</t>
  </si>
  <si>
    <t>2.13</t>
  </si>
  <si>
    <t>Elektroinstalace - Silnoproud</t>
  </si>
  <si>
    <t>nenívPD</t>
  </si>
  <si>
    <t>2.14</t>
  </si>
  <si>
    <t>Elektroinstalace - Slaboproud</t>
  </si>
  <si>
    <t>2.15</t>
  </si>
  <si>
    <t>ZOKT</t>
  </si>
  <si>
    <t>2.16</t>
  </si>
  <si>
    <t>Zámečnické konstrukce</t>
  </si>
  <si>
    <t>Nájemci</t>
  </si>
  <si>
    <t>BILLA (dle stavebního popisu a stavebního rozhraní viz. přílohy)</t>
  </si>
  <si>
    <t>TETA (dle stavebního popisu a stavebního rozhraní viz. přílohy)</t>
  </si>
  <si>
    <t>SUPERZOO (dle stavebního popisu a stavebního rozhraní viz. přílohy)</t>
  </si>
  <si>
    <t>SINSAY (dle stavebního popisu a stavebního rozhraní viz. přílohy)</t>
  </si>
  <si>
    <t>PEPCO (dle stavebního popisu a stavebního rozhraní viz. přílohy)</t>
  </si>
  <si>
    <t>VALMONT (dle stavebního popisu a stavebního rozhraní viz. přílohy)</t>
  </si>
  <si>
    <t>BENU (dle stavebního popisu a stavebního rozhraní viz. přílohy)</t>
  </si>
  <si>
    <t>STYLE (dle stavebního popisu a stavebního rozhraní viz. přílohy)</t>
  </si>
  <si>
    <t>NEHTOVÉ STUDIO</t>
  </si>
  <si>
    <t>STAVEBNÍ PŘÍPRAVA PRO NABÍJECÍ STANICI AUT</t>
  </si>
  <si>
    <t>VÝDEJNÍ BOXY</t>
  </si>
  <si>
    <t>Ostatní práce</t>
  </si>
  <si>
    <t>Realizační dokumentace</t>
  </si>
  <si>
    <t>Dokumentace skutečného provedení</t>
  </si>
  <si>
    <t>Kolaudace + Inženýrská činnost včetně poplatků</t>
  </si>
  <si>
    <t>Ocenění časosběrné kamery po celou dobu výstavby s online přenosem</t>
  </si>
  <si>
    <t>Informační a reklamní cedule investora a označení stavby (na plot 3 x 2 m)</t>
  </si>
  <si>
    <t>Ocelové pozinkované konstrukce nad vstupy do prodejen</t>
  </si>
  <si>
    <t>Ocelové pozinkované konstrukce pro osazení billboardů na fasádu - 8ks</t>
  </si>
  <si>
    <t>Zařízení staveniště včetně oplocení</t>
  </si>
  <si>
    <t>Ostatní náklady potřebné k bezvadné realizaci díla</t>
  </si>
  <si>
    <t>FINAL SUM kolo 2</t>
  </si>
  <si>
    <t>FINAL SUM kolo 1</t>
  </si>
  <si>
    <t>ROZDÍL</t>
  </si>
  <si>
    <t>ROZDÍL V %</t>
  </si>
  <si>
    <t>PROJEKT: OC : prodej SPV (vystavba)</t>
  </si>
  <si>
    <t>Právo stavby do SP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</si>
  <si>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</si>
  <si>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</si>
  <si>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</si>
  <si>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</si>
  <si>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</si>
  <si>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</si>
  <si>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</si>
  <si>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</si>
  <si>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Potřeba &gt;9%</t>
  </si>
  <si>
    <t>Demolice</t>
  </si>
  <si>
    <t>Reziduální hodnota pozemku</t>
  </si>
  <si>
    <t xml:space="preserve">Rezerva </t>
  </si>
  <si>
    <t>Marže na nákladech stávby %</t>
  </si>
  <si>
    <t>NET YIELD Development</t>
  </si>
  <si>
    <t>Marže na nákladech stávby  Kč</t>
  </si>
  <si>
    <t>Hrubá reziduální hodnota pozemku</t>
  </si>
  <si>
    <t>ČISTÁ REZIDUÁLNÍ HODNOTA POZEMKU</t>
  </si>
  <si>
    <t xml:space="preserve">Honoráře spojené s projektem </t>
  </si>
  <si>
    <t xml:space="preserve">Prodejni cena retail </t>
  </si>
  <si>
    <t xml:space="preserve">JC </t>
  </si>
  <si>
    <t>Hodnota pozemku po SP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</si>
  <si>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</si>
  <si>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</si>
  <si>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</si>
  <si>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</si>
  <si>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>Potřeba &gt;20,00%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</si>
  <si>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</si>
  <si>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</si>
  <si>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</si>
  <si>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</si>
  <si>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</si>
  <si>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Citlivostní analýza poklesu YIELD</t>
  </si>
  <si>
    <t>Inženýring - ÚR, SP, kolaudace</t>
  </si>
  <si>
    <t>NET PROFIT</t>
  </si>
  <si>
    <t>Yield</t>
  </si>
  <si>
    <t>Privátní equita pozemek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</si>
  <si>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</si>
  <si>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</si>
  <si>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</si>
  <si>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</si>
  <si>
    <t>Citlivostní analýza změny ceny stavby (YIELD 7,2%)</t>
  </si>
  <si>
    <t>Δ stavby</t>
  </si>
  <si>
    <t>Citlivostní analýza pří prodloužení projektu</t>
  </si>
  <si>
    <t>Δ (mes)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</si>
</sst>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6" formatCode="#,##0\ &quot;Kč&quot;;[Red]\-#,##0\ &quot;Kč&quot;"/>
    <numFmt numFmtId="43" formatCode="_-* #,##0.00_-;\-* #,##0.00_-;_-* &quot;-&quot;??_-;_-@_-"/>
    <numFmt numFmtId="164" formatCode="#,##0.0[$€]"/>
    <numFmt numFmtId="165" formatCode="#,##0.00[$€]"/>
    <numFmt numFmtId="166" formatCode="#,##0[$ Kč]"/>
    <numFmt numFmtId="167" formatCode="#,##0[$€]"/>
    <numFmt numFmtId="168" formatCode="#,##0.00\ [$Kč-405]"/>
    <numFmt numFmtId="169" formatCode="dd\.mm\.yyyy"/>
    <numFmt numFmtId="170" formatCode="d\.m\.yyyy"/>
    <numFmt numFmtId="171" formatCode="_-* #,##0\ [$Kč-405]_-;\-* #,##0\ [$Kč-405]_-;_-* &quot;-&quot;??\ [$Kč-405]_-;_-@"/>
    <numFmt numFmtId="172" formatCode="_-* #,##0.0\ [$Kč-405]_-;\-* #,##0.0\ [$Kč-405]_-;_-* &quot;-&quot;??\ [$Kč-405]_-;_-@"/>
    <numFmt numFmtId="173" formatCode="_-* #,##0.00\ [$Kč-405]_-;\-* #,##0.00\ [$Kč-405]_-;_-* &quot;-&quot;??\ [$Kč-405]_-;_-@"/>
    <numFmt numFmtId="174" formatCode="[Black]\ #,##0;[Red]\ \-#,##0"/>
    <numFmt numFmtId="175" formatCode="0.0%"/>
    <numFmt numFmtId="176" formatCode="#,##0_ ;\-#,##0\ "/>
    <numFmt numFmtId="177" formatCode="#,##0.00\ &quot;CZK&quot;"/>
    <numFmt numFmtId="178" formatCode="_-* #,##0.0\ [$Kč-405]_-;\-* #,##0.0\ [$Kč-405]_-;_-* &quot;-&quot;??.0\ [$Kč-405]_-;_-@"/>
    <numFmt numFmtId="179" formatCode="_-* #,##0.00\ &quot;CZK&quot;_-;\-* #,##0.00\ &quot;CZK&quot;_-;_-* &quot;-&quot;??\ &quot;CZK&quot;_-;_-@"/>
    <numFmt numFmtId="180" formatCode="#,##0\ [$Kč-405]"/>
    <numFmt numFmtId="181" formatCode="0.000%"/>
    <numFmt numFmtId="182" formatCode="d\.m"/>
    <numFmt numFmtId="183" formatCode="#,##0&quot;Kč&quot;"/>
    <numFmt numFmtId="184" formatCode="d\.m\."/>
    <numFmt numFmtId="185" formatCode="#,##0.00&quot;Kč&quot;"/>
    <numFmt numFmtId="186" formatCode="yyyy&quot; &quot;"/>
    <numFmt numFmtId="187" formatCode="mmm&quot; &quot;"/>
    <numFmt numFmtId="188" formatCode="&quot; &quot;m&quot;. &quot;yyyy"/>
    <numFmt numFmtId="189" formatCode="m\.yyyy"/>
    <numFmt numFmtId="190" formatCode="#,##0.00[$ Kč]"/>
    <numFmt numFmtId="191" formatCode="#,##0\ [$Kč-405];\-#,##0\ [$Kč-405]"/>
    <numFmt numFmtId="192" formatCode="_-* #,##0.00\ _K_č_-;\-* #,##0.00\ _K_č_-;_-* &quot;-&quot;??\ _K_č_-;_-@_-"/>
    <numFmt numFmtId="193" formatCode="#,##0.00\ &quot;Kč&quot;"/>
    <numFmt numFmtId="194" formatCode="#,##0.00\ [$€-425]"/>
  </numFmts>
  <fonts count="71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b/>
      <sz val="12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3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6"/>
      <color rgb="FF000000"/>
      <name val="Arial"/>
      <family val="2"/>
    </font>
    <font>
      <sz val="11"/>
      <color rgb="FF000000"/>
      <name val="Helvetica"/>
      <family val="2"/>
    </font>
    <font>
      <b/>
      <sz val="11"/>
      <color rgb="FF000000"/>
      <name val="Helvetica"/>
      <family val="2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2"/>
      <color rgb="FF0066CC"/>
      <name val="Arial"/>
      <family val="2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ABF8F"/>
        <bgColor rgb="FFFABF8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BFBFBF"/>
        <bgColor rgb="FFBFBFBF"/>
      </patternFill>
    </fill>
    <fill>
      <patternFill patternType="solid">
        <fgColor rgb="FFFCD5B4"/>
        <bgColor rgb="FFFCD5B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FFFF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68" fillId="0" borderId="0" applyFont="0" applyFill="0" applyBorder="0" applyAlignment="0" applyProtection="0"/>
    <xf numFmtId="43" fontId="69" fillId="0" borderId="0" applyFont="0" applyFill="0" applyBorder="0" applyAlignment="0" applyProtection="0"/>
  </cellStyleXfs>
  <cellXfs count="61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 applyAlignment="1">
      <alignment horizontal="right"/>
    </xf>
    <xf numFmtId="164" fontId="2" fillId="0" borderId="2" xfId="0" applyNumberFormat="1" applyFont="1" applyBorder="1"/>
    <xf numFmtId="165" fontId="2" fillId="0" borderId="2" xfId="0" applyNumberFormat="1" applyFont="1" applyBorder="1" applyAlignment="1">
      <alignment horizontal="right"/>
    </xf>
    <xf numFmtId="166" fontId="2" fillId="0" borderId="2" xfId="0" applyNumberFormat="1" applyFont="1" applyBorder="1" applyAlignment="1">
      <alignment horizontal="right"/>
    </xf>
    <xf numFmtId="166" fontId="2" fillId="0" borderId="4" xfId="0" applyNumberFormat="1" applyFont="1" applyBorder="1" applyAlignment="1">
      <alignment horizontal="right"/>
    </xf>
    <xf numFmtId="165" fontId="2" fillId="0" borderId="2" xfId="0" applyNumberFormat="1" applyFont="1" applyBorder="1"/>
    <xf numFmtId="0" fontId="1" fillId="0" borderId="1" xfId="0" applyFont="1" applyBorder="1" applyAlignment="1">
      <alignment horizontal="center"/>
    </xf>
    <xf numFmtId="167" fontId="2" fillId="0" borderId="1" xfId="0" applyNumberFormat="1" applyFont="1" applyBorder="1"/>
    <xf numFmtId="166" fontId="1" fillId="2" borderId="1" xfId="0" applyNumberFormat="1" applyFont="1" applyFill="1" applyBorder="1" applyAlignment="1">
      <alignment horizontal="right"/>
    </xf>
    <xf numFmtId="168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8" fontId="2" fillId="0" borderId="0" xfId="0" applyNumberFormat="1" applyFont="1"/>
    <xf numFmtId="166" fontId="2" fillId="0" borderId="0" xfId="0" applyNumberFormat="1" applyFont="1"/>
    <xf numFmtId="10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3" fillId="3" borderId="1" xfId="0" applyFont="1" applyFill="1" applyBorder="1" applyAlignment="1">
      <alignment horizontal="center"/>
    </xf>
    <xf numFmtId="17" fontId="4" fillId="0" borderId="0" xfId="0" applyNumberFormat="1" applyFont="1"/>
    <xf numFmtId="0" fontId="5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9" fontId="7" fillId="3" borderId="3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69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0" xfId="0" applyFont="1"/>
    <xf numFmtId="0" fontId="5" fillId="3" borderId="3" xfId="0" applyFont="1" applyFill="1" applyBorder="1" applyAlignment="1">
      <alignment horizontal="center"/>
    </xf>
    <xf numFmtId="170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3" borderId="1" xfId="0" applyFont="1" applyFill="1" applyBorder="1" applyAlignment="1">
      <alignment horizontal="center"/>
    </xf>
    <xf numFmtId="169" fontId="9" fillId="3" borderId="6" xfId="0" applyNumberFormat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168" fontId="9" fillId="3" borderId="6" xfId="0" applyNumberFormat="1" applyFont="1" applyFill="1" applyBorder="1" applyAlignment="1">
      <alignment horizontal="center"/>
    </xf>
    <xf numFmtId="0" fontId="8" fillId="3" borderId="6" xfId="0" applyFont="1" applyFill="1" applyBorder="1"/>
    <xf numFmtId="14" fontId="9" fillId="3" borderId="6" xfId="0" applyNumberFormat="1" applyFont="1" applyFill="1" applyBorder="1" applyAlignment="1">
      <alignment horizontal="center"/>
    </xf>
    <xf numFmtId="171" fontId="10" fillId="0" borderId="0" xfId="0" applyNumberFormat="1" applyFont="1" applyAlignment="1">
      <alignment horizontal="right"/>
    </xf>
    <xf numFmtId="0" fontId="9" fillId="3" borderId="3" xfId="0" applyFont="1" applyFill="1" applyBorder="1" applyAlignment="1">
      <alignment horizontal="center"/>
    </xf>
    <xf numFmtId="168" fontId="8" fillId="0" borderId="0" xfId="0" applyNumberFormat="1" applyFont="1"/>
    <xf numFmtId="170" fontId="5" fillId="3" borderId="3" xfId="0" applyNumberFormat="1" applyFont="1" applyFill="1" applyBorder="1" applyAlignment="1">
      <alignment horizontal="center"/>
    </xf>
    <xf numFmtId="168" fontId="6" fillId="3" borderId="3" xfId="0" applyNumberFormat="1" applyFont="1" applyFill="1" applyBorder="1" applyAlignment="1">
      <alignment horizontal="center" vertical="center"/>
    </xf>
    <xf numFmtId="170" fontId="7" fillId="3" borderId="3" xfId="0" applyNumberFormat="1" applyFont="1" applyFill="1" applyBorder="1" applyAlignment="1">
      <alignment horizontal="center" vertical="center"/>
    </xf>
    <xf numFmtId="168" fontId="6" fillId="3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2" fontId="15" fillId="0" borderId="0" xfId="0" applyNumberFormat="1" applyFont="1" applyAlignment="1">
      <alignment vertical="center"/>
    </xf>
    <xf numFmtId="17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73" fontId="1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3" fontId="13" fillId="0" borderId="0" xfId="0" applyNumberFormat="1" applyFont="1" applyAlignment="1">
      <alignment horizontal="center" vertical="center"/>
    </xf>
    <xf numFmtId="172" fontId="13" fillId="0" borderId="0" xfId="0" applyNumberFormat="1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173" fontId="13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3" fontId="20" fillId="0" borderId="10" xfId="0" applyNumberFormat="1" applyFont="1" applyBorder="1" applyAlignment="1">
      <alignment horizontal="center" vertical="center"/>
    </xf>
    <xf numFmtId="172" fontId="20" fillId="0" borderId="10" xfId="0" applyNumberFormat="1" applyFont="1" applyBorder="1" applyAlignment="1">
      <alignment horizontal="center" vertical="center"/>
    </xf>
    <xf numFmtId="173" fontId="13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172" fontId="20" fillId="0" borderId="11" xfId="0" applyNumberFormat="1" applyFont="1" applyBorder="1" applyAlignment="1">
      <alignment horizontal="center" vertical="center"/>
    </xf>
    <xf numFmtId="0" fontId="21" fillId="0" borderId="13" xfId="0" applyFont="1" applyBorder="1"/>
    <xf numFmtId="0" fontId="21" fillId="0" borderId="14" xfId="0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71" fontId="13" fillId="6" borderId="16" xfId="0" applyNumberFormat="1" applyFont="1" applyFill="1" applyBorder="1" applyAlignment="1">
      <alignment vertical="center"/>
    </xf>
    <xf numFmtId="171" fontId="13" fillId="6" borderId="17" xfId="0" applyNumberFormat="1" applyFont="1" applyFill="1" applyBorder="1" applyAlignment="1">
      <alignment vertical="center"/>
    </xf>
    <xf numFmtId="171" fontId="16" fillId="0" borderId="8" xfId="0" applyNumberFormat="1" applyFont="1" applyBorder="1" applyAlignment="1">
      <alignment horizontal="center" vertical="center"/>
    </xf>
    <xf numFmtId="0" fontId="21" fillId="0" borderId="18" xfId="0" applyFont="1" applyBorder="1"/>
    <xf numFmtId="0" fontId="21" fillId="0" borderId="1" xfId="0" applyFont="1" applyBorder="1" applyAlignment="1">
      <alignment horizontal="center" vertical="center"/>
    </xf>
    <xf numFmtId="171" fontId="22" fillId="6" borderId="1" xfId="0" applyNumberFormat="1" applyFont="1" applyFill="1" applyBorder="1" applyAlignment="1">
      <alignment vertical="center"/>
    </xf>
    <xf numFmtId="171" fontId="22" fillId="6" borderId="19" xfId="0" applyNumberFormat="1" applyFont="1" applyFill="1" applyBorder="1" applyAlignment="1">
      <alignment vertical="center"/>
    </xf>
    <xf numFmtId="0" fontId="21" fillId="0" borderId="20" xfId="0" applyFont="1" applyBorder="1"/>
    <xf numFmtId="0" fontId="21" fillId="0" borderId="21" xfId="0" applyFont="1" applyBorder="1" applyAlignment="1">
      <alignment horizontal="center" vertical="center"/>
    </xf>
    <xf numFmtId="171" fontId="23" fillId="0" borderId="15" xfId="0" applyNumberFormat="1" applyFont="1" applyBorder="1" applyAlignment="1">
      <alignment vertical="center"/>
    </xf>
    <xf numFmtId="171" fontId="13" fillId="0" borderId="22" xfId="0" applyNumberFormat="1" applyFont="1" applyBorder="1" applyAlignment="1">
      <alignment horizontal="center" vertical="center"/>
    </xf>
    <xf numFmtId="171" fontId="16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21" fillId="0" borderId="19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9" fontId="23" fillId="0" borderId="15" xfId="0" applyNumberFormat="1" applyFont="1" applyBorder="1" applyAlignment="1">
      <alignment vertical="center"/>
    </xf>
    <xf numFmtId="171" fontId="22" fillId="0" borderId="8" xfId="0" applyNumberFormat="1" applyFont="1" applyBorder="1" applyAlignment="1">
      <alignment horizontal="center" vertical="center"/>
    </xf>
    <xf numFmtId="0" fontId="21" fillId="0" borderId="23" xfId="0" applyFont="1" applyBorder="1"/>
    <xf numFmtId="0" fontId="22" fillId="0" borderId="24" xfId="0" applyFont="1" applyBorder="1" applyAlignment="1">
      <alignment horizontal="center" vertical="center"/>
    </xf>
    <xf numFmtId="0" fontId="22" fillId="4" borderId="25" xfId="0" applyFont="1" applyFill="1" applyBorder="1" applyAlignment="1">
      <alignment vertical="center"/>
    </xf>
    <xf numFmtId="171" fontId="16" fillId="0" borderId="8" xfId="0" applyNumberFormat="1" applyFont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left" vertical="center"/>
    </xf>
    <xf numFmtId="1" fontId="14" fillId="5" borderId="28" xfId="0" applyNumberFormat="1" applyFont="1" applyFill="1" applyBorder="1" applyAlignment="1">
      <alignment horizontal="center" vertical="center"/>
    </xf>
    <xf numFmtId="0" fontId="25" fillId="0" borderId="0" xfId="0" applyFont="1"/>
    <xf numFmtId="171" fontId="25" fillId="0" borderId="0" xfId="0" applyNumberFormat="1" applyFont="1"/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174" fontId="13" fillId="6" borderId="30" xfId="0" applyNumberFormat="1" applyFont="1" applyFill="1" applyBorder="1" applyAlignment="1">
      <alignment vertical="center" wrapText="1"/>
    </xf>
    <xf numFmtId="176" fontId="13" fillId="6" borderId="16" xfId="0" applyNumberFormat="1" applyFont="1" applyFill="1" applyBorder="1" applyAlignment="1">
      <alignment horizontal="center" vertical="center"/>
    </xf>
    <xf numFmtId="171" fontId="13" fillId="6" borderId="16" xfId="0" applyNumberFormat="1" applyFont="1" applyFill="1" applyBorder="1" applyAlignment="1">
      <alignment horizontal="center" vertical="center"/>
    </xf>
    <xf numFmtId="9" fontId="26" fillId="0" borderId="16" xfId="0" applyNumberFormat="1" applyFont="1" applyBorder="1" applyAlignment="1">
      <alignment vertical="center"/>
    </xf>
    <xf numFmtId="171" fontId="16" fillId="6" borderId="17" xfId="0" applyNumberFormat="1" applyFont="1" applyFill="1" applyBorder="1" applyAlignment="1">
      <alignment horizontal="center" vertical="center"/>
    </xf>
    <xf numFmtId="171" fontId="13" fillId="0" borderId="8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4" fontId="13" fillId="0" borderId="31" xfId="0" applyNumberFormat="1" applyFont="1" applyBorder="1" applyAlignment="1">
      <alignment horizontal="center" vertical="center"/>
    </xf>
    <xf numFmtId="3" fontId="13" fillId="0" borderId="31" xfId="0" applyNumberFormat="1" applyFont="1" applyBorder="1" applyAlignment="1">
      <alignment horizontal="center" vertical="center"/>
    </xf>
    <xf numFmtId="171" fontId="13" fillId="0" borderId="31" xfId="0" applyNumberFormat="1" applyFont="1" applyBorder="1" applyAlignment="1">
      <alignment horizontal="center" vertical="center"/>
    </xf>
    <xf numFmtId="171" fontId="13" fillId="0" borderId="31" xfId="0" applyNumberFormat="1" applyFont="1" applyBorder="1" applyAlignment="1">
      <alignment vertical="center"/>
    </xf>
    <xf numFmtId="171" fontId="13" fillId="0" borderId="32" xfId="0" applyNumberFormat="1" applyFont="1" applyBorder="1" applyAlignment="1">
      <alignment horizontal="center" vertical="center"/>
    </xf>
    <xf numFmtId="0" fontId="14" fillId="5" borderId="33" xfId="0" applyFont="1" applyFill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3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2" fontId="13" fillId="0" borderId="3" xfId="0" applyNumberFormat="1" applyFont="1" applyBorder="1" applyAlignment="1">
      <alignment vertical="center"/>
    </xf>
    <xf numFmtId="10" fontId="22" fillId="0" borderId="21" xfId="0" applyNumberFormat="1" applyFont="1" applyBorder="1" applyAlignment="1">
      <alignment horizontal="center" vertical="center"/>
    </xf>
    <xf numFmtId="174" fontId="13" fillId="6" borderId="35" xfId="0" applyNumberFormat="1" applyFont="1" applyFill="1" applyBorder="1" applyAlignment="1">
      <alignment vertical="center" wrapText="1"/>
    </xf>
    <xf numFmtId="10" fontId="13" fillId="0" borderId="8" xfId="0" applyNumberFormat="1" applyFont="1" applyBorder="1" applyAlignment="1">
      <alignment horizontal="center" vertical="center"/>
    </xf>
    <xf numFmtId="0" fontId="31" fillId="0" borderId="20" xfId="0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/>
    </xf>
    <xf numFmtId="9" fontId="13" fillId="0" borderId="3" xfId="0" applyNumberFormat="1" applyFont="1" applyBorder="1" applyAlignment="1">
      <alignment vertical="center"/>
    </xf>
    <xf numFmtId="2" fontId="22" fillId="0" borderId="21" xfId="0" applyNumberFormat="1" applyFont="1" applyBorder="1" applyAlignment="1">
      <alignment horizontal="center" vertical="center"/>
    </xf>
    <xf numFmtId="177" fontId="22" fillId="0" borderId="24" xfId="0" applyNumberFormat="1" applyFont="1" applyBorder="1" applyAlignment="1">
      <alignment horizontal="right" vertical="center"/>
    </xf>
    <xf numFmtId="178" fontId="13" fillId="0" borderId="1" xfId="0" applyNumberFormat="1" applyFont="1" applyBorder="1" applyAlignment="1">
      <alignment vertical="center"/>
    </xf>
    <xf numFmtId="171" fontId="22" fillId="0" borderId="19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77" fontId="14" fillId="5" borderId="36" xfId="0" applyNumberFormat="1" applyFont="1" applyFill="1" applyBorder="1" applyAlignment="1">
      <alignment horizontal="right" vertical="center"/>
    </xf>
    <xf numFmtId="0" fontId="31" fillId="0" borderId="18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72" fontId="13" fillId="0" borderId="1" xfId="0" applyNumberFormat="1" applyFont="1" applyBorder="1" applyAlignment="1">
      <alignment vertical="center"/>
    </xf>
    <xf numFmtId="0" fontId="31" fillId="0" borderId="23" xfId="0" applyFont="1" applyBorder="1" applyAlignment="1">
      <alignment horizontal="left" vertical="center"/>
    </xf>
    <xf numFmtId="3" fontId="13" fillId="0" borderId="37" xfId="0" applyNumberFormat="1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172" fontId="13" fillId="0" borderId="37" xfId="0" applyNumberFormat="1" applyFont="1" applyBorder="1" applyAlignment="1">
      <alignment vertical="center"/>
    </xf>
    <xf numFmtId="10" fontId="22" fillId="0" borderId="24" xfId="0" applyNumberFormat="1" applyFont="1" applyBorder="1" applyAlignment="1">
      <alignment horizontal="center" vertical="center"/>
    </xf>
    <xf numFmtId="0" fontId="31" fillId="0" borderId="38" xfId="0" applyFont="1" applyBorder="1" applyAlignment="1">
      <alignment horizontal="left" vertical="center"/>
    </xf>
    <xf numFmtId="3" fontId="13" fillId="0" borderId="39" xfId="0" applyNumberFormat="1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9" fontId="13" fillId="0" borderId="39" xfId="0" applyNumberFormat="1" applyFont="1" applyBorder="1" applyAlignment="1">
      <alignment vertical="center"/>
    </xf>
    <xf numFmtId="9" fontId="13" fillId="0" borderId="0" xfId="0" applyNumberFormat="1" applyFont="1" applyAlignment="1">
      <alignment vertical="center"/>
    </xf>
    <xf numFmtId="171" fontId="16" fillId="0" borderId="32" xfId="0" applyNumberFormat="1" applyFont="1" applyBorder="1" applyAlignment="1">
      <alignment horizontal="right" vertical="center"/>
    </xf>
    <xf numFmtId="175" fontId="22" fillId="0" borderId="14" xfId="0" applyNumberFormat="1" applyFont="1" applyBorder="1" applyAlignment="1">
      <alignment horizontal="right" vertical="center"/>
    </xf>
    <xf numFmtId="0" fontId="14" fillId="7" borderId="38" xfId="0" applyFont="1" applyFill="1" applyBorder="1" applyAlignment="1">
      <alignment horizontal="left" vertical="center"/>
    </xf>
    <xf numFmtId="0" fontId="27" fillId="6" borderId="30" xfId="0" applyFont="1" applyFill="1" applyBorder="1" applyAlignment="1">
      <alignment horizontal="right" vertical="center" wrapText="1"/>
    </xf>
    <xf numFmtId="171" fontId="29" fillId="6" borderId="17" xfId="0" applyNumberFormat="1" applyFont="1" applyFill="1" applyBorder="1" applyAlignment="1">
      <alignment vertical="center"/>
    </xf>
    <xf numFmtId="0" fontId="14" fillId="5" borderId="42" xfId="0" applyFont="1" applyFill="1" applyBorder="1" applyAlignment="1">
      <alignment horizontal="left" vertical="center"/>
    </xf>
    <xf numFmtId="0" fontId="22" fillId="0" borderId="23" xfId="0" applyFont="1" applyBorder="1" applyAlignment="1">
      <alignment vertical="center"/>
    </xf>
    <xf numFmtId="0" fontId="14" fillId="5" borderId="25" xfId="0" applyFont="1" applyFill="1" applyBorder="1" applyAlignment="1">
      <alignment horizontal="left" vertical="center"/>
    </xf>
    <xf numFmtId="3" fontId="32" fillId="8" borderId="0" xfId="0" applyNumberFormat="1" applyFont="1" applyFill="1"/>
    <xf numFmtId="175" fontId="13" fillId="6" borderId="16" xfId="0" applyNumberFormat="1" applyFont="1" applyFill="1" applyBorder="1" applyAlignment="1">
      <alignment horizontal="center" vertical="center"/>
    </xf>
    <xf numFmtId="0" fontId="13" fillId="0" borderId="43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19" fillId="0" borderId="46" xfId="0" applyFont="1" applyBorder="1" applyAlignment="1">
      <alignment vertical="center"/>
    </xf>
    <xf numFmtId="179" fontId="22" fillId="0" borderId="14" xfId="0" applyNumberFormat="1" applyFont="1" applyBorder="1" applyAlignment="1">
      <alignment horizontal="right" vertical="center"/>
    </xf>
    <xf numFmtId="0" fontId="13" fillId="6" borderId="16" xfId="0" applyFont="1" applyFill="1" applyBorder="1" applyAlignment="1">
      <alignment horizontal="center" vertical="center"/>
    </xf>
    <xf numFmtId="10" fontId="23" fillId="0" borderId="16" xfId="0" applyNumberFormat="1" applyFont="1" applyBorder="1" applyAlignment="1">
      <alignment vertical="center"/>
    </xf>
    <xf numFmtId="0" fontId="13" fillId="6" borderId="30" xfId="0" applyFont="1" applyFill="1" applyBorder="1" applyAlignment="1">
      <alignment vertical="center" wrapText="1"/>
    </xf>
    <xf numFmtId="173" fontId="22" fillId="0" borderId="19" xfId="0" applyNumberFormat="1" applyFont="1" applyBorder="1" applyAlignment="1">
      <alignment horizontal="center" vertical="center"/>
    </xf>
    <xf numFmtId="171" fontId="34" fillId="0" borderId="38" xfId="0" applyNumberFormat="1" applyFont="1" applyBorder="1" applyAlignment="1">
      <alignment vertical="center"/>
    </xf>
    <xf numFmtId="171" fontId="35" fillId="0" borderId="39" xfId="0" applyNumberFormat="1" applyFont="1" applyBorder="1" applyAlignment="1">
      <alignment vertical="center"/>
    </xf>
    <xf numFmtId="171" fontId="13" fillId="0" borderId="39" xfId="0" applyNumberFormat="1" applyFont="1" applyBorder="1" applyAlignment="1">
      <alignment vertical="center"/>
    </xf>
    <xf numFmtId="171" fontId="37" fillId="0" borderId="38" xfId="0" applyNumberFormat="1" applyFont="1" applyBorder="1" applyAlignment="1">
      <alignment vertical="center"/>
    </xf>
    <xf numFmtId="171" fontId="38" fillId="0" borderId="39" xfId="0" applyNumberFormat="1" applyFont="1" applyBorder="1" applyAlignment="1">
      <alignment vertical="center"/>
    </xf>
    <xf numFmtId="9" fontId="38" fillId="0" borderId="39" xfId="0" applyNumberFormat="1" applyFont="1" applyBorder="1" applyAlignment="1">
      <alignment vertical="center"/>
    </xf>
    <xf numFmtId="10" fontId="13" fillId="0" borderId="0" xfId="0" applyNumberFormat="1" applyFont="1" applyAlignment="1">
      <alignment vertical="center"/>
    </xf>
    <xf numFmtId="171" fontId="39" fillId="0" borderId="0" xfId="0" applyNumberFormat="1" applyFont="1" applyAlignment="1">
      <alignment horizontal="left" vertical="center" wrapText="1"/>
    </xf>
    <xf numFmtId="168" fontId="13" fillId="0" borderId="0" xfId="0" applyNumberFormat="1" applyFont="1" applyAlignment="1">
      <alignment vertical="center"/>
    </xf>
    <xf numFmtId="0" fontId="22" fillId="0" borderId="1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171" fontId="22" fillId="0" borderId="0" xfId="0" applyNumberFormat="1" applyFont="1" applyAlignment="1">
      <alignment horizontal="center" vertical="center"/>
    </xf>
    <xf numFmtId="166" fontId="22" fillId="0" borderId="18" xfId="0" applyNumberFormat="1" applyFont="1" applyBorder="1" applyAlignment="1">
      <alignment horizontal="center" vertical="center" wrapText="1"/>
    </xf>
    <xf numFmtId="10" fontId="22" fillId="0" borderId="47" xfId="0" applyNumberFormat="1" applyFont="1" applyBorder="1" applyAlignment="1">
      <alignment horizontal="center" vertical="center"/>
    </xf>
    <xf numFmtId="10" fontId="22" fillId="0" borderId="48" xfId="0" applyNumberFormat="1" applyFont="1" applyBorder="1" applyAlignment="1">
      <alignment horizontal="center" vertical="center"/>
    </xf>
    <xf numFmtId="10" fontId="22" fillId="0" borderId="19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 wrapText="1"/>
    </xf>
    <xf numFmtId="181" fontId="22" fillId="0" borderId="49" xfId="0" applyNumberFormat="1" applyFont="1" applyBorder="1" applyAlignment="1">
      <alignment horizontal="center" vertical="center"/>
    </xf>
    <xf numFmtId="171" fontId="13" fillId="6" borderId="17" xfId="0" applyNumberFormat="1" applyFont="1" applyFill="1" applyBorder="1" applyAlignment="1">
      <alignment horizontal="center" vertical="center"/>
    </xf>
    <xf numFmtId="174" fontId="40" fillId="6" borderId="30" xfId="0" applyNumberFormat="1" applyFont="1" applyFill="1" applyBorder="1" applyAlignment="1">
      <alignment horizontal="right" vertical="center" wrapText="1"/>
    </xf>
    <xf numFmtId="0" fontId="41" fillId="8" borderId="0" xfId="0" applyFont="1" applyFill="1"/>
    <xf numFmtId="1" fontId="22" fillId="0" borderId="47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0" fontId="42" fillId="0" borderId="44" xfId="0" applyFont="1" applyBorder="1"/>
    <xf numFmtId="3" fontId="42" fillId="0" borderId="45" xfId="0" applyNumberFormat="1" applyFont="1" applyBorder="1"/>
    <xf numFmtId="0" fontId="43" fillId="0" borderId="46" xfId="0" applyFont="1" applyBorder="1" applyAlignment="1">
      <alignment horizontal="center"/>
    </xf>
    <xf numFmtId="172" fontId="43" fillId="0" borderId="0" xfId="0" applyNumberFormat="1" applyFont="1" applyAlignment="1">
      <alignment horizontal="center"/>
    </xf>
    <xf numFmtId="173" fontId="43" fillId="0" borderId="0" xfId="0" applyNumberFormat="1" applyFont="1" applyAlignment="1">
      <alignment horizontal="center"/>
    </xf>
    <xf numFmtId="3" fontId="44" fillId="0" borderId="0" xfId="0" applyNumberFormat="1" applyFont="1"/>
    <xf numFmtId="10" fontId="43" fillId="0" borderId="0" xfId="0" applyNumberFormat="1" applyFont="1" applyAlignment="1">
      <alignment horizontal="right"/>
    </xf>
    <xf numFmtId="0" fontId="42" fillId="0" borderId="38" xfId="0" applyFont="1" applyBorder="1"/>
    <xf numFmtId="10" fontId="42" fillId="0" borderId="39" xfId="0" applyNumberFormat="1" applyFont="1" applyBorder="1" applyAlignment="1">
      <alignment horizontal="right"/>
    </xf>
    <xf numFmtId="0" fontId="14" fillId="10" borderId="25" xfId="0" applyFont="1" applyFill="1" applyBorder="1" applyAlignment="1">
      <alignment vertical="center"/>
    </xf>
    <xf numFmtId="0" fontId="45" fillId="10" borderId="25" xfId="0" applyFont="1" applyFill="1" applyBorder="1" applyAlignment="1">
      <alignment vertical="center"/>
    </xf>
    <xf numFmtId="0" fontId="46" fillId="0" borderId="0" xfId="0" applyFont="1"/>
    <xf numFmtId="0" fontId="46" fillId="12" borderId="0" xfId="0" applyFont="1" applyFill="1" applyAlignment="1">
      <alignment horizontal="right"/>
    </xf>
    <xf numFmtId="0" fontId="24" fillId="0" borderId="0" xfId="0" applyFont="1" applyAlignment="1">
      <alignment horizontal="left"/>
    </xf>
    <xf numFmtId="0" fontId="24" fillId="0" borderId="0" xfId="0" applyFont="1"/>
    <xf numFmtId="0" fontId="46" fillId="0" borderId="0" xfId="0" applyFont="1" applyAlignment="1">
      <alignment horizontal="center"/>
    </xf>
    <xf numFmtId="182" fontId="46" fillId="0" borderId="0" xfId="0" applyNumberFormat="1" applyFont="1" applyAlignment="1">
      <alignment horizontal="left"/>
    </xf>
    <xf numFmtId="0" fontId="47" fillId="0" borderId="0" xfId="0" applyFont="1"/>
    <xf numFmtId="183" fontId="47" fillId="0" borderId="0" xfId="0" applyNumberFormat="1" applyFont="1"/>
    <xf numFmtId="0" fontId="24" fillId="13" borderId="51" xfId="0" applyFont="1" applyFill="1" applyBorder="1"/>
    <xf numFmtId="183" fontId="24" fillId="13" borderId="51" xfId="0" applyNumberFormat="1" applyFont="1" applyFill="1" applyBorder="1"/>
    <xf numFmtId="0" fontId="46" fillId="0" borderId="0" xfId="0" applyFont="1" applyAlignment="1">
      <alignment horizontal="right"/>
    </xf>
    <xf numFmtId="183" fontId="47" fillId="0" borderId="0" xfId="0" applyNumberFormat="1" applyFont="1" applyAlignment="1">
      <alignment horizontal="center"/>
    </xf>
    <xf numFmtId="0" fontId="46" fillId="0" borderId="0" xfId="0" applyFont="1" applyAlignment="1">
      <alignment horizontal="left"/>
    </xf>
    <xf numFmtId="9" fontId="46" fillId="0" borderId="0" xfId="0" applyNumberFormat="1" applyFont="1" applyAlignment="1">
      <alignment horizontal="right"/>
    </xf>
    <xf numFmtId="184" fontId="46" fillId="0" borderId="0" xfId="0" applyNumberFormat="1" applyFont="1" applyAlignment="1">
      <alignment horizontal="left"/>
    </xf>
    <xf numFmtId="0" fontId="47" fillId="0" borderId="0" xfId="0" applyFont="1" applyAlignment="1">
      <alignment horizontal="center"/>
    </xf>
    <xf numFmtId="171" fontId="47" fillId="0" borderId="0" xfId="0" applyNumberFormat="1" applyFont="1" applyAlignment="1">
      <alignment horizontal="center"/>
    </xf>
    <xf numFmtId="0" fontId="24" fillId="13" borderId="51" xfId="0" applyFont="1" applyFill="1" applyBorder="1" applyAlignment="1">
      <alignment horizontal="center"/>
    </xf>
    <xf numFmtId="183" fontId="24" fillId="13" borderId="51" xfId="0" applyNumberFormat="1" applyFont="1" applyFill="1" applyBorder="1" applyAlignment="1">
      <alignment horizontal="center"/>
    </xf>
    <xf numFmtId="171" fontId="46" fillId="0" borderId="0" xfId="0" applyNumberFormat="1" applyFont="1"/>
    <xf numFmtId="9" fontId="46" fillId="11" borderId="0" xfId="0" applyNumberFormat="1" applyFont="1" applyFill="1" applyAlignment="1">
      <alignment horizontal="right"/>
    </xf>
    <xf numFmtId="171" fontId="24" fillId="13" borderId="51" xfId="0" applyNumberFormat="1" applyFont="1" applyFill="1" applyBorder="1"/>
    <xf numFmtId="0" fontId="24" fillId="14" borderId="0" xfId="0" applyFont="1" applyFill="1"/>
    <xf numFmtId="171" fontId="24" fillId="14" borderId="0" xfId="0" applyNumberFormat="1" applyFont="1" applyFill="1"/>
    <xf numFmtId="0" fontId="46" fillId="15" borderId="0" xfId="0" applyFont="1" applyFill="1"/>
    <xf numFmtId="0" fontId="24" fillId="14" borderId="51" xfId="0" applyFont="1" applyFill="1" applyBorder="1"/>
    <xf numFmtId="180" fontId="24" fillId="14" borderId="51" xfId="0" applyNumberFormat="1" applyFont="1" applyFill="1" applyBorder="1"/>
    <xf numFmtId="1" fontId="24" fillId="14" borderId="0" xfId="0" applyNumberFormat="1" applyFont="1" applyFill="1" applyAlignment="1">
      <alignment horizontal="center"/>
    </xf>
    <xf numFmtId="166" fontId="46" fillId="0" borderId="0" xfId="0" applyNumberFormat="1" applyFont="1"/>
    <xf numFmtId="180" fontId="46" fillId="0" borderId="0" xfId="0" applyNumberFormat="1" applyFont="1"/>
    <xf numFmtId="180" fontId="24" fillId="13" borderId="51" xfId="0" applyNumberFormat="1" applyFont="1" applyFill="1" applyBorder="1"/>
    <xf numFmtId="0" fontId="24" fillId="13" borderId="0" xfId="0" applyFont="1" applyFill="1"/>
    <xf numFmtId="10" fontId="24" fillId="13" borderId="0" xfId="0" applyNumberFormat="1" applyFont="1" applyFill="1" applyAlignment="1">
      <alignment horizontal="right"/>
    </xf>
    <xf numFmtId="9" fontId="47" fillId="16" borderId="0" xfId="0" applyNumberFormat="1" applyFont="1" applyFill="1" applyAlignment="1">
      <alignment horizontal="center"/>
    </xf>
    <xf numFmtId="9" fontId="46" fillId="16" borderId="0" xfId="0" applyNumberFormat="1" applyFont="1" applyFill="1" applyAlignment="1">
      <alignment horizontal="center"/>
    </xf>
    <xf numFmtId="0" fontId="24" fillId="0" borderId="52" xfId="0" applyFont="1" applyBorder="1" applyAlignment="1">
      <alignment horizontal="left"/>
    </xf>
    <xf numFmtId="0" fontId="24" fillId="0" borderId="53" xfId="0" applyFont="1" applyBorder="1"/>
    <xf numFmtId="0" fontId="46" fillId="0" borderId="53" xfId="0" applyFont="1" applyBorder="1"/>
    <xf numFmtId="0" fontId="46" fillId="0" borderId="1" xfId="0" applyFont="1" applyBorder="1"/>
    <xf numFmtId="182" fontId="46" fillId="0" borderId="54" xfId="0" applyNumberFormat="1" applyFont="1" applyBorder="1" applyAlignment="1">
      <alignment horizontal="left"/>
    </xf>
    <xf numFmtId="10" fontId="24" fillId="0" borderId="3" xfId="0" applyNumberFormat="1" applyFont="1" applyBorder="1" applyAlignment="1">
      <alignment horizontal="right"/>
    </xf>
    <xf numFmtId="171" fontId="46" fillId="0" borderId="3" xfId="0" applyNumberFormat="1" applyFont="1" applyBorder="1"/>
    <xf numFmtId="182" fontId="46" fillId="0" borderId="54" xfId="0" applyNumberFormat="1" applyFont="1" applyBorder="1"/>
    <xf numFmtId="10" fontId="46" fillId="0" borderId="0" xfId="0" applyNumberFormat="1" applyFont="1" applyAlignment="1">
      <alignment horizontal="right"/>
    </xf>
    <xf numFmtId="180" fontId="46" fillId="0" borderId="3" xfId="0" applyNumberFormat="1" applyFont="1" applyBorder="1"/>
    <xf numFmtId="0" fontId="46" fillId="0" borderId="3" xfId="0" applyFont="1" applyBorder="1"/>
    <xf numFmtId="0" fontId="46" fillId="0" borderId="54" xfId="0" applyFont="1" applyBorder="1"/>
    <xf numFmtId="168" fontId="46" fillId="0" borderId="3" xfId="0" applyNumberFormat="1" applyFont="1" applyBorder="1"/>
    <xf numFmtId="0" fontId="46" fillId="0" borderId="55" xfId="0" applyFont="1" applyBorder="1"/>
    <xf numFmtId="0" fontId="46" fillId="0" borderId="6" xfId="0" applyFont="1" applyBorder="1"/>
    <xf numFmtId="0" fontId="46" fillId="14" borderId="0" xfId="0" applyFont="1" applyFill="1" applyAlignment="1">
      <alignment horizontal="left"/>
    </xf>
    <xf numFmtId="0" fontId="46" fillId="14" borderId="0" xfId="0" applyFont="1" applyFill="1"/>
    <xf numFmtId="0" fontId="46" fillId="14" borderId="0" xfId="0" applyFont="1" applyFill="1" applyAlignment="1">
      <alignment horizontal="center"/>
    </xf>
    <xf numFmtId="182" fontId="46" fillId="14" borderId="0" xfId="0" applyNumberFormat="1" applyFont="1" applyFill="1" applyAlignment="1">
      <alignment horizontal="left"/>
    </xf>
    <xf numFmtId="168" fontId="46" fillId="14" borderId="0" xfId="0" applyNumberFormat="1" applyFont="1" applyFill="1" applyAlignment="1">
      <alignment horizontal="right"/>
    </xf>
    <xf numFmtId="10" fontId="47" fillId="14" borderId="0" xfId="0" applyNumberFormat="1" applyFont="1" applyFill="1" applyAlignment="1">
      <alignment horizontal="right"/>
    </xf>
    <xf numFmtId="185" fontId="46" fillId="14" borderId="0" xfId="0" applyNumberFormat="1" applyFont="1" applyFill="1" applyAlignment="1">
      <alignment horizontal="right"/>
    </xf>
    <xf numFmtId="0" fontId="24" fillId="14" borderId="51" xfId="0" applyFont="1" applyFill="1" applyBorder="1" applyAlignment="1">
      <alignment horizontal="right"/>
    </xf>
    <xf numFmtId="168" fontId="24" fillId="14" borderId="51" xfId="0" applyNumberFormat="1" applyFont="1" applyFill="1" applyBorder="1"/>
    <xf numFmtId="10" fontId="24" fillId="14" borderId="51" xfId="0" applyNumberFormat="1" applyFont="1" applyFill="1" applyBorder="1" applyAlignment="1">
      <alignment horizontal="right"/>
    </xf>
    <xf numFmtId="0" fontId="24" fillId="14" borderId="6" xfId="0" applyFont="1" applyFill="1" applyBorder="1"/>
    <xf numFmtId="9" fontId="24" fillId="11" borderId="0" xfId="0" applyNumberFormat="1" applyFont="1" applyFill="1" applyAlignment="1">
      <alignment horizontal="right"/>
    </xf>
    <xf numFmtId="171" fontId="46" fillId="14" borderId="0" xfId="0" applyNumberFormat="1" applyFont="1" applyFill="1" applyAlignment="1">
      <alignment horizontal="right"/>
    </xf>
    <xf numFmtId="183" fontId="46" fillId="14" borderId="0" xfId="0" applyNumberFormat="1" applyFont="1" applyFill="1" applyAlignment="1">
      <alignment horizontal="right"/>
    </xf>
    <xf numFmtId="183" fontId="46" fillId="14" borderId="0" xfId="0" applyNumberFormat="1" applyFont="1" applyFill="1" applyAlignment="1">
      <alignment horizontal="center"/>
    </xf>
    <xf numFmtId="0" fontId="47" fillId="14" borderId="0" xfId="0" applyFont="1" applyFill="1"/>
    <xf numFmtId="180" fontId="46" fillId="14" borderId="0" xfId="0" applyNumberFormat="1" applyFont="1" applyFill="1" applyAlignment="1">
      <alignment horizontal="center"/>
    </xf>
    <xf numFmtId="171" fontId="46" fillId="14" borderId="0" xfId="0" applyNumberFormat="1" applyFont="1" applyFill="1" applyAlignment="1">
      <alignment horizontal="center"/>
    </xf>
    <xf numFmtId="183" fontId="24" fillId="0" borderId="0" xfId="0" applyNumberFormat="1" applyFont="1"/>
    <xf numFmtId="174" fontId="13" fillId="0" borderId="0" xfId="0" applyNumberFormat="1" applyFont="1"/>
    <xf numFmtId="174" fontId="13" fillId="17" borderId="39" xfId="0" applyNumberFormat="1" applyFont="1" applyFill="1" applyBorder="1"/>
    <xf numFmtId="14" fontId="13" fillId="17" borderId="39" xfId="0" applyNumberFormat="1" applyFont="1" applyFill="1" applyBorder="1" applyAlignment="1">
      <alignment horizontal="right"/>
    </xf>
    <xf numFmtId="174" fontId="13" fillId="0" borderId="39" xfId="0" applyNumberFormat="1" applyFont="1" applyBorder="1"/>
    <xf numFmtId="187" fontId="16" fillId="0" borderId="5" xfId="0" applyNumberFormat="1" applyFont="1" applyBorder="1" applyAlignment="1">
      <alignment horizontal="center"/>
    </xf>
    <xf numFmtId="188" fontId="16" fillId="0" borderId="56" xfId="0" applyNumberFormat="1" applyFont="1" applyBorder="1" applyAlignment="1">
      <alignment horizontal="center"/>
    </xf>
    <xf numFmtId="174" fontId="13" fillId="18" borderId="5" xfId="0" applyNumberFormat="1" applyFont="1" applyFill="1" applyBorder="1"/>
    <xf numFmtId="174" fontId="13" fillId="18" borderId="57" xfId="0" applyNumberFormat="1" applyFont="1" applyFill="1" applyBorder="1" applyAlignment="1">
      <alignment horizontal="center"/>
    </xf>
    <xf numFmtId="174" fontId="13" fillId="18" borderId="58" xfId="0" applyNumberFormat="1" applyFont="1" applyFill="1" applyBorder="1"/>
    <xf numFmtId="174" fontId="13" fillId="18" borderId="59" xfId="0" applyNumberFormat="1" applyFont="1" applyFill="1" applyBorder="1"/>
    <xf numFmtId="174" fontId="13" fillId="18" borderId="57" xfId="0" applyNumberFormat="1" applyFont="1" applyFill="1" applyBorder="1"/>
    <xf numFmtId="174" fontId="16" fillId="18" borderId="57" xfId="0" applyNumberFormat="1" applyFont="1" applyFill="1" applyBorder="1" applyAlignment="1">
      <alignment horizontal="center"/>
    </xf>
    <xf numFmtId="174" fontId="13" fillId="18" borderId="60" xfId="0" applyNumberFormat="1" applyFont="1" applyFill="1" applyBorder="1"/>
    <xf numFmtId="174" fontId="13" fillId="18" borderId="60" xfId="0" applyNumberFormat="1" applyFont="1" applyFill="1" applyBorder="1" applyAlignment="1">
      <alignment horizontal="right"/>
    </xf>
    <xf numFmtId="174" fontId="13" fillId="18" borderId="60" xfId="0" applyNumberFormat="1" applyFont="1" applyFill="1" applyBorder="1" applyAlignment="1">
      <alignment horizontal="center"/>
    </xf>
    <xf numFmtId="10" fontId="13" fillId="0" borderId="0" xfId="0" applyNumberFormat="1" applyFont="1" applyAlignment="1">
      <alignment horizontal="right"/>
    </xf>
    <xf numFmtId="168" fontId="13" fillId="0" borderId="0" xfId="0" applyNumberFormat="1" applyFont="1" applyAlignment="1">
      <alignment horizontal="right"/>
    </xf>
    <xf numFmtId="10" fontId="13" fillId="0" borderId="0" xfId="0" applyNumberFormat="1" applyFont="1"/>
    <xf numFmtId="174" fontId="16" fillId="18" borderId="5" xfId="0" applyNumberFormat="1" applyFont="1" applyFill="1" applyBorder="1" applyAlignment="1">
      <alignment horizontal="center"/>
    </xf>
    <xf numFmtId="174" fontId="13" fillId="19" borderId="5" xfId="0" applyNumberFormat="1" applyFont="1" applyFill="1" applyBorder="1"/>
    <xf numFmtId="174" fontId="13" fillId="19" borderId="56" xfId="0" applyNumberFormat="1" applyFont="1" applyFill="1" applyBorder="1" applyAlignment="1">
      <alignment horizontal="center"/>
    </xf>
    <xf numFmtId="174" fontId="16" fillId="21" borderId="6" xfId="0" applyNumberFormat="1" applyFont="1" applyFill="1" applyBorder="1" applyAlignment="1">
      <alignment horizontal="center"/>
    </xf>
    <xf numFmtId="174" fontId="13" fillId="21" borderId="1" xfId="0" applyNumberFormat="1" applyFont="1" applyFill="1" applyBorder="1"/>
    <xf numFmtId="174" fontId="13" fillId="21" borderId="6" xfId="0" applyNumberFormat="1" applyFont="1" applyFill="1" applyBorder="1" applyAlignment="1">
      <alignment horizontal="center"/>
    </xf>
    <xf numFmtId="174" fontId="22" fillId="22" borderId="57" xfId="0" applyNumberFormat="1" applyFont="1" applyFill="1" applyBorder="1" applyAlignment="1">
      <alignment horizontal="center"/>
    </xf>
    <xf numFmtId="174" fontId="22" fillId="22" borderId="5" xfId="0" applyNumberFormat="1" applyFont="1" applyFill="1" applyBorder="1" applyAlignment="1">
      <alignment horizontal="center"/>
    </xf>
    <xf numFmtId="174" fontId="13" fillId="20" borderId="57" xfId="0" applyNumberFormat="1" applyFont="1" applyFill="1" applyBorder="1"/>
    <xf numFmtId="174" fontId="13" fillId="20" borderId="57" xfId="0" applyNumberFormat="1" applyFont="1" applyFill="1" applyBorder="1" applyAlignment="1">
      <alignment horizontal="center"/>
    </xf>
    <xf numFmtId="174" fontId="13" fillId="20" borderId="58" xfId="0" applyNumberFormat="1" applyFont="1" applyFill="1" applyBorder="1"/>
    <xf numFmtId="174" fontId="26" fillId="20" borderId="57" xfId="0" applyNumberFormat="1" applyFont="1" applyFill="1" applyBorder="1" applyAlignment="1">
      <alignment horizontal="center"/>
    </xf>
    <xf numFmtId="174" fontId="13" fillId="20" borderId="5" xfId="0" applyNumberFormat="1" applyFont="1" applyFill="1" applyBorder="1" applyAlignment="1">
      <alignment horizontal="center"/>
    </xf>
    <xf numFmtId="174" fontId="13" fillId="20" borderId="59" xfId="0" applyNumberFormat="1" applyFont="1" applyFill="1" applyBorder="1"/>
    <xf numFmtId="174" fontId="16" fillId="20" borderId="57" xfId="0" applyNumberFormat="1" applyFont="1" applyFill="1" applyBorder="1" applyAlignment="1">
      <alignment horizontal="center"/>
    </xf>
    <xf numFmtId="174" fontId="13" fillId="20" borderId="61" xfId="0" applyNumberFormat="1" applyFont="1" applyFill="1" applyBorder="1"/>
    <xf numFmtId="174" fontId="16" fillId="20" borderId="62" xfId="0" applyNumberFormat="1" applyFont="1" applyFill="1" applyBorder="1" applyAlignment="1">
      <alignment horizontal="center"/>
    </xf>
    <xf numFmtId="174" fontId="16" fillId="20" borderId="63" xfId="0" applyNumberFormat="1" applyFont="1" applyFill="1" applyBorder="1" applyAlignment="1">
      <alignment horizontal="center"/>
    </xf>
    <xf numFmtId="174" fontId="13" fillId="20" borderId="5" xfId="0" applyNumberFormat="1" applyFont="1" applyFill="1" applyBorder="1"/>
    <xf numFmtId="174" fontId="16" fillId="20" borderId="3" xfId="0" applyNumberFormat="1" applyFont="1" applyFill="1" applyBorder="1" applyAlignment="1">
      <alignment horizontal="center"/>
    </xf>
    <xf numFmtId="174" fontId="23" fillId="20" borderId="58" xfId="0" applyNumberFormat="1" applyFont="1" applyFill="1" applyBorder="1" applyAlignment="1">
      <alignment horizontal="center"/>
    </xf>
    <xf numFmtId="174" fontId="23" fillId="20" borderId="59" xfId="0" applyNumberFormat="1" applyFont="1" applyFill="1" applyBorder="1" applyAlignment="1">
      <alignment horizontal="center"/>
    </xf>
    <xf numFmtId="174" fontId="13" fillId="20" borderId="0" xfId="0" applyNumberFormat="1" applyFont="1" applyFill="1"/>
    <xf numFmtId="10" fontId="13" fillId="20" borderId="57" xfId="0" applyNumberFormat="1" applyFont="1" applyFill="1" applyBorder="1" applyAlignment="1">
      <alignment horizontal="center"/>
    </xf>
    <xf numFmtId="174" fontId="26" fillId="7" borderId="62" xfId="0" applyNumberFormat="1" applyFont="1" applyFill="1" applyBorder="1" applyAlignment="1">
      <alignment horizontal="center"/>
    </xf>
    <xf numFmtId="174" fontId="26" fillId="7" borderId="63" xfId="0" applyNumberFormat="1" applyFont="1" applyFill="1" applyBorder="1" applyAlignment="1">
      <alignment horizontal="center"/>
    </xf>
    <xf numFmtId="174" fontId="16" fillId="7" borderId="63" xfId="0" applyNumberFormat="1" applyFont="1" applyFill="1" applyBorder="1" applyAlignment="1">
      <alignment horizontal="center"/>
    </xf>
    <xf numFmtId="10" fontId="13" fillId="20" borderId="5" xfId="0" applyNumberFormat="1" applyFont="1" applyFill="1" applyBorder="1" applyAlignment="1">
      <alignment horizontal="center"/>
    </xf>
    <xf numFmtId="174" fontId="13" fillId="20" borderId="60" xfId="0" applyNumberFormat="1" applyFont="1" applyFill="1" applyBorder="1"/>
    <xf numFmtId="174" fontId="13" fillId="20" borderId="6" xfId="0" applyNumberFormat="1" applyFont="1" applyFill="1" applyBorder="1"/>
    <xf numFmtId="174" fontId="26" fillId="7" borderId="3" xfId="0" applyNumberFormat="1" applyFont="1" applyFill="1" applyBorder="1" applyAlignment="1">
      <alignment horizontal="center"/>
    </xf>
    <xf numFmtId="174" fontId="13" fillId="20" borderId="62" xfId="0" applyNumberFormat="1" applyFont="1" applyFill="1" applyBorder="1"/>
    <xf numFmtId="174" fontId="13" fillId="20" borderId="58" xfId="0" applyNumberFormat="1" applyFont="1" applyFill="1" applyBorder="1" applyAlignment="1">
      <alignment horizontal="center"/>
    </xf>
    <xf numFmtId="174" fontId="26" fillId="20" borderId="64" xfId="0" applyNumberFormat="1" applyFont="1" applyFill="1" applyBorder="1" applyAlignment="1">
      <alignment horizontal="center"/>
    </xf>
    <xf numFmtId="174" fontId="13" fillId="20" borderId="63" xfId="0" applyNumberFormat="1" applyFont="1" applyFill="1" applyBorder="1"/>
    <xf numFmtId="174" fontId="13" fillId="20" borderId="65" xfId="0" applyNumberFormat="1" applyFont="1" applyFill="1" applyBorder="1"/>
    <xf numFmtId="174" fontId="13" fillId="20" borderId="3" xfId="0" applyNumberFormat="1" applyFont="1" applyFill="1" applyBorder="1"/>
    <xf numFmtId="174" fontId="13" fillId="20" borderId="6" xfId="0" applyNumberFormat="1" applyFont="1" applyFill="1" applyBorder="1" applyAlignment="1">
      <alignment horizontal="center"/>
    </xf>
    <xf numFmtId="174" fontId="13" fillId="20" borderId="59" xfId="0" applyNumberFormat="1" applyFont="1" applyFill="1" applyBorder="1" applyAlignment="1">
      <alignment horizontal="center"/>
    </xf>
    <xf numFmtId="174" fontId="26" fillId="20" borderId="66" xfId="0" applyNumberFormat="1" applyFont="1" applyFill="1" applyBorder="1" applyAlignment="1">
      <alignment horizontal="center"/>
    </xf>
    <xf numFmtId="174" fontId="13" fillId="20" borderId="60" xfId="0" applyNumberFormat="1" applyFont="1" applyFill="1" applyBorder="1" applyAlignment="1">
      <alignment horizontal="center"/>
    </xf>
    <xf numFmtId="174" fontId="26" fillId="20" borderId="3" xfId="0" applyNumberFormat="1" applyFont="1" applyFill="1" applyBorder="1" applyAlignment="1">
      <alignment horizontal="center"/>
    </xf>
    <xf numFmtId="174" fontId="16" fillId="20" borderId="64" xfId="0" applyNumberFormat="1" applyFont="1" applyFill="1" applyBorder="1" applyAlignment="1">
      <alignment horizontal="center"/>
    </xf>
    <xf numFmtId="174" fontId="13" fillId="21" borderId="67" xfId="0" applyNumberFormat="1" applyFont="1" applyFill="1" applyBorder="1" applyAlignment="1">
      <alignment horizontal="center"/>
    </xf>
    <xf numFmtId="174" fontId="13" fillId="24" borderId="56" xfId="0" applyNumberFormat="1" applyFont="1" applyFill="1" applyBorder="1"/>
    <xf numFmtId="174" fontId="13" fillId="24" borderId="68" xfId="0" applyNumberFormat="1" applyFont="1" applyFill="1" applyBorder="1" applyAlignment="1">
      <alignment horizontal="center"/>
    </xf>
    <xf numFmtId="174" fontId="23" fillId="24" borderId="68" xfId="0" applyNumberFormat="1" applyFont="1" applyFill="1" applyBorder="1" applyAlignment="1">
      <alignment horizontal="center"/>
    </xf>
    <xf numFmtId="174" fontId="13" fillId="24" borderId="69" xfId="0" applyNumberFormat="1" applyFont="1" applyFill="1" applyBorder="1" applyAlignment="1">
      <alignment horizontal="center"/>
    </xf>
    <xf numFmtId="174" fontId="13" fillId="25" borderId="56" xfId="0" applyNumberFormat="1" applyFont="1" applyFill="1" applyBorder="1"/>
    <xf numFmtId="174" fontId="13" fillId="25" borderId="68" xfId="0" applyNumberFormat="1" applyFont="1" applyFill="1" applyBorder="1" applyAlignment="1">
      <alignment horizontal="center"/>
    </xf>
    <xf numFmtId="174" fontId="13" fillId="0" borderId="0" xfId="0" applyNumberFormat="1" applyFont="1" applyAlignment="1">
      <alignment horizontal="right"/>
    </xf>
    <xf numFmtId="174" fontId="50" fillId="26" borderId="0" xfId="0" applyNumberFormat="1" applyFont="1" applyFill="1"/>
    <xf numFmtId="174" fontId="13" fillId="26" borderId="0" xfId="0" applyNumberFormat="1" applyFont="1" applyFill="1"/>
    <xf numFmtId="174" fontId="16" fillId="19" borderId="6" xfId="0" applyNumberFormat="1" applyFont="1" applyFill="1" applyBorder="1" applyAlignment="1">
      <alignment horizontal="center"/>
    </xf>
    <xf numFmtId="174" fontId="13" fillId="19" borderId="6" xfId="0" applyNumberFormat="1" applyFont="1" applyFill="1" applyBorder="1"/>
    <xf numFmtId="174" fontId="13" fillId="0" borderId="6" xfId="0" applyNumberFormat="1" applyFont="1" applyBorder="1"/>
    <xf numFmtId="174" fontId="13" fillId="0" borderId="5" xfId="0" applyNumberFormat="1" applyFont="1" applyBorder="1"/>
    <xf numFmtId="174" fontId="13" fillId="19" borderId="5" xfId="0" applyNumberFormat="1" applyFont="1" applyFill="1" applyBorder="1" applyAlignment="1">
      <alignment horizontal="right"/>
    </xf>
    <xf numFmtId="0" fontId="13" fillId="0" borderId="0" xfId="0" applyFont="1"/>
    <xf numFmtId="174" fontId="4" fillId="0" borderId="0" xfId="0" applyNumberFormat="1" applyFont="1"/>
    <xf numFmtId="0" fontId="53" fillId="29" borderId="70" xfId="0" applyFont="1" applyFill="1" applyBorder="1" applyAlignment="1">
      <alignment horizontal="center"/>
    </xf>
    <xf numFmtId="0" fontId="53" fillId="3" borderId="70" xfId="0" applyFont="1" applyFill="1" applyBorder="1" applyAlignment="1">
      <alignment horizontal="center"/>
    </xf>
    <xf numFmtId="0" fontId="53" fillId="26" borderId="70" xfId="0" applyFont="1" applyFill="1" applyBorder="1" applyAlignment="1">
      <alignment horizontal="center"/>
    </xf>
    <xf numFmtId="0" fontId="53" fillId="30" borderId="70" xfId="0" applyFont="1" applyFill="1" applyBorder="1" applyAlignment="1">
      <alignment horizontal="center"/>
    </xf>
    <xf numFmtId="189" fontId="54" fillId="22" borderId="1" xfId="0" applyNumberFormat="1" applyFont="1" applyFill="1" applyBorder="1" applyAlignment="1">
      <alignment horizontal="center"/>
    </xf>
    <xf numFmtId="174" fontId="55" fillId="3" borderId="1" xfId="0" applyNumberFormat="1" applyFont="1" applyFill="1" applyBorder="1" applyAlignment="1">
      <alignment horizontal="center"/>
    </xf>
    <xf numFmtId="166" fontId="4" fillId="26" borderId="0" xfId="0" applyNumberFormat="1" applyFont="1" applyFill="1"/>
    <xf numFmtId="190" fontId="4" fillId="30" borderId="0" xfId="0" applyNumberFormat="1" applyFont="1" applyFill="1"/>
    <xf numFmtId="174" fontId="53" fillId="3" borderId="70" xfId="0" applyNumberFormat="1" applyFont="1" applyFill="1" applyBorder="1" applyAlignment="1">
      <alignment horizontal="center"/>
    </xf>
    <xf numFmtId="189" fontId="54" fillId="29" borderId="1" xfId="0" applyNumberFormat="1" applyFont="1" applyFill="1" applyBorder="1" applyAlignment="1">
      <alignment horizontal="center"/>
    </xf>
    <xf numFmtId="189" fontId="54" fillId="31" borderId="1" xfId="0" applyNumberFormat="1" applyFont="1" applyFill="1" applyBorder="1" applyAlignment="1">
      <alignment horizontal="center"/>
    </xf>
    <xf numFmtId="0" fontId="53" fillId="32" borderId="1" xfId="0" applyFont="1" applyFill="1" applyBorder="1" applyAlignment="1">
      <alignment horizontal="center"/>
    </xf>
    <xf numFmtId="0" fontId="43" fillId="0" borderId="1" xfId="0" applyFont="1" applyBorder="1"/>
    <xf numFmtId="0" fontId="43" fillId="0" borderId="2" xfId="0" applyFont="1" applyBorder="1" applyAlignment="1">
      <alignment horizontal="center" wrapText="1"/>
    </xf>
    <xf numFmtId="0" fontId="43" fillId="0" borderId="3" xfId="0" applyFont="1" applyBorder="1"/>
    <xf numFmtId="0" fontId="46" fillId="0" borderId="1" xfId="0" applyFont="1" applyBorder="1" applyAlignment="1">
      <alignment horizontal="right"/>
    </xf>
    <xf numFmtId="0" fontId="24" fillId="15" borderId="2" xfId="0" applyFont="1" applyFill="1" applyBorder="1" applyAlignment="1">
      <alignment horizontal="center"/>
    </xf>
    <xf numFmtId="0" fontId="24" fillId="15" borderId="51" xfId="0" applyFont="1" applyFill="1" applyBorder="1" applyAlignment="1">
      <alignment horizontal="center"/>
    </xf>
    <xf numFmtId="0" fontId="24" fillId="15" borderId="1" xfId="0" applyFont="1" applyFill="1" applyBorder="1" applyAlignment="1">
      <alignment horizontal="center"/>
    </xf>
    <xf numFmtId="0" fontId="24" fillId="33" borderId="1" xfId="0" applyFont="1" applyFill="1" applyBorder="1" applyAlignment="1">
      <alignment horizontal="center"/>
    </xf>
    <xf numFmtId="0" fontId="24" fillId="33" borderId="6" xfId="0" applyFont="1" applyFill="1" applyBorder="1" applyAlignment="1">
      <alignment horizontal="center"/>
    </xf>
    <xf numFmtId="0" fontId="24" fillId="33" borderId="3" xfId="0" applyFont="1" applyFill="1" applyBorder="1" applyAlignment="1">
      <alignment horizontal="center"/>
    </xf>
    <xf numFmtId="0" fontId="24" fillId="33" borderId="0" xfId="0" applyFont="1" applyFill="1" applyAlignment="1">
      <alignment horizontal="center"/>
    </xf>
    <xf numFmtId="0" fontId="24" fillId="33" borderId="3" xfId="0" applyFont="1" applyFill="1" applyBorder="1" applyAlignment="1">
      <alignment horizontal="right"/>
    </xf>
    <xf numFmtId="182" fontId="46" fillId="0" borderId="3" xfId="0" applyNumberFormat="1" applyFont="1" applyBorder="1" applyAlignment="1">
      <alignment horizontal="right"/>
    </xf>
    <xf numFmtId="183" fontId="46" fillId="15" borderId="0" xfId="0" applyNumberFormat="1" applyFont="1" applyFill="1" applyAlignment="1">
      <alignment horizontal="right"/>
    </xf>
    <xf numFmtId="183" fontId="46" fillId="15" borderId="55" xfId="0" applyNumberFormat="1" applyFont="1" applyFill="1" applyBorder="1" applyAlignment="1">
      <alignment horizontal="right"/>
    </xf>
    <xf numFmtId="183" fontId="46" fillId="15" borderId="50" xfId="0" applyNumberFormat="1" applyFont="1" applyFill="1" applyBorder="1" applyAlignment="1">
      <alignment horizontal="right"/>
    </xf>
    <xf numFmtId="183" fontId="46" fillId="15" borderId="3" xfId="0" applyNumberFormat="1" applyFont="1" applyFill="1" applyBorder="1" applyAlignment="1">
      <alignment horizontal="right"/>
    </xf>
    <xf numFmtId="183" fontId="24" fillId="15" borderId="0" xfId="0" applyNumberFormat="1" applyFont="1" applyFill="1" applyAlignment="1">
      <alignment horizontal="right"/>
    </xf>
    <xf numFmtId="0" fontId="46" fillId="15" borderId="0" xfId="0" applyFont="1" applyFill="1" applyAlignment="1">
      <alignment horizontal="right"/>
    </xf>
    <xf numFmtId="0" fontId="46" fillId="15" borderId="55" xfId="0" applyFont="1" applyFill="1" applyBorder="1"/>
    <xf numFmtId="0" fontId="46" fillId="15" borderId="3" xfId="0" applyFont="1" applyFill="1" applyBorder="1"/>
    <xf numFmtId="0" fontId="46" fillId="0" borderId="3" xfId="0" applyFont="1" applyBorder="1" applyAlignment="1">
      <alignment horizontal="right"/>
    </xf>
    <xf numFmtId="183" fontId="24" fillId="33" borderId="0" xfId="0" applyNumberFormat="1" applyFont="1" applyFill="1" applyAlignment="1">
      <alignment horizontal="right"/>
    </xf>
    <xf numFmtId="183" fontId="24" fillId="33" borderId="3" xfId="0" applyNumberFormat="1" applyFont="1" applyFill="1" applyBorder="1" applyAlignment="1">
      <alignment horizontal="right"/>
    </xf>
    <xf numFmtId="0" fontId="59" fillId="0" borderId="0" xfId="0" applyFont="1"/>
    <xf numFmtId="183" fontId="60" fillId="15" borderId="0" xfId="0" applyNumberFormat="1" applyFont="1" applyFill="1" applyAlignment="1">
      <alignment horizontal="right"/>
    </xf>
    <xf numFmtId="183" fontId="24" fillId="33" borderId="55" xfId="0" applyNumberFormat="1" applyFont="1" applyFill="1" applyBorder="1" applyAlignment="1">
      <alignment horizontal="right"/>
    </xf>
    <xf numFmtId="0" fontId="60" fillId="15" borderId="0" xfId="0" applyFont="1" applyFill="1"/>
    <xf numFmtId="0" fontId="46" fillId="0" borderId="50" xfId="0" applyFont="1" applyBorder="1"/>
    <xf numFmtId="183" fontId="61" fillId="15" borderId="0" xfId="0" applyNumberFormat="1" applyFont="1" applyFill="1" applyAlignment="1">
      <alignment horizontal="right"/>
    </xf>
    <xf numFmtId="183" fontId="62" fillId="15" borderId="3" xfId="0" applyNumberFormat="1" applyFont="1" applyFill="1" applyBorder="1" applyAlignment="1">
      <alignment horizontal="right"/>
    </xf>
    <xf numFmtId="0" fontId="46" fillId="0" borderId="2" xfId="0" applyFont="1" applyBorder="1"/>
    <xf numFmtId="183" fontId="46" fillId="0" borderId="2" xfId="0" applyNumberFormat="1" applyFont="1" applyBorder="1" applyAlignment="1">
      <alignment horizontal="right"/>
    </xf>
    <xf numFmtId="0" fontId="24" fillId="0" borderId="51" xfId="0" applyFont="1" applyBorder="1"/>
    <xf numFmtId="183" fontId="24" fillId="34" borderId="1" xfId="0" applyNumberFormat="1" applyFont="1" applyFill="1" applyBorder="1" applyAlignment="1">
      <alignment horizontal="center"/>
    </xf>
    <xf numFmtId="183" fontId="24" fillId="0" borderId="2" xfId="0" applyNumberFormat="1" applyFont="1" applyBorder="1" applyAlignment="1">
      <alignment horizontal="center"/>
    </xf>
    <xf numFmtId="180" fontId="24" fillId="0" borderId="2" xfId="0" applyNumberFormat="1" applyFont="1" applyBorder="1" applyAlignment="1">
      <alignment horizontal="center"/>
    </xf>
    <xf numFmtId="0" fontId="46" fillId="0" borderId="51" xfId="0" applyFont="1" applyBorder="1"/>
    <xf numFmtId="180" fontId="46" fillId="0" borderId="50" xfId="0" applyNumberFormat="1" applyFont="1" applyBorder="1"/>
    <xf numFmtId="180" fontId="46" fillId="0" borderId="51" xfId="0" applyNumberFormat="1" applyFont="1" applyBorder="1" applyAlignment="1">
      <alignment horizontal="center"/>
    </xf>
    <xf numFmtId="180" fontId="46" fillId="0" borderId="1" xfId="0" applyNumberFormat="1" applyFont="1" applyBorder="1"/>
    <xf numFmtId="180" fontId="46" fillId="0" borderId="51" xfId="0" applyNumberFormat="1" applyFont="1" applyBorder="1"/>
    <xf numFmtId="180" fontId="46" fillId="0" borderId="2" xfId="0" applyNumberFormat="1" applyFont="1" applyBorder="1"/>
    <xf numFmtId="9" fontId="47" fillId="0" borderId="55" xfId="0" applyNumberFormat="1" applyFont="1" applyBorder="1" applyAlignment="1">
      <alignment horizontal="center"/>
    </xf>
    <xf numFmtId="171" fontId="2" fillId="0" borderId="0" xfId="0" applyNumberFormat="1" applyFont="1"/>
    <xf numFmtId="171" fontId="13" fillId="0" borderId="15" xfId="0" applyNumberFormat="1" applyFont="1" applyBorder="1" applyAlignment="1">
      <alignment horizontal="center" vertical="center"/>
    </xf>
    <xf numFmtId="0" fontId="13" fillId="0" borderId="71" xfId="0" applyFont="1" applyBorder="1" applyAlignment="1">
      <alignment vertical="center"/>
    </xf>
    <xf numFmtId="3" fontId="13" fillId="0" borderId="72" xfId="0" applyNumberFormat="1" applyFont="1" applyBorder="1" applyAlignment="1">
      <alignment horizontal="center" vertical="center"/>
    </xf>
    <xf numFmtId="9" fontId="13" fillId="0" borderId="72" xfId="0" applyNumberFormat="1" applyFont="1" applyBorder="1" applyAlignment="1">
      <alignment horizontal="center" vertical="center"/>
    </xf>
    <xf numFmtId="171" fontId="23" fillId="0" borderId="72" xfId="0" applyNumberFormat="1" applyFont="1" applyBorder="1" applyAlignment="1">
      <alignment vertical="center"/>
    </xf>
    <xf numFmtId="171" fontId="13" fillId="0" borderId="73" xfId="0" applyNumberFormat="1" applyFont="1" applyBorder="1" applyAlignment="1">
      <alignment horizontal="center" vertical="center"/>
    </xf>
    <xf numFmtId="0" fontId="21" fillId="0" borderId="41" xfId="0" applyFont="1" applyBorder="1"/>
    <xf numFmtId="0" fontId="22" fillId="0" borderId="34" xfId="0" applyFont="1" applyBorder="1" applyAlignment="1">
      <alignment horizontal="center" vertical="center"/>
    </xf>
    <xf numFmtId="0" fontId="13" fillId="6" borderId="35" xfId="0" applyFont="1" applyFill="1" applyBorder="1" applyAlignment="1">
      <alignment vertical="center" wrapText="1"/>
    </xf>
    <xf numFmtId="171" fontId="13" fillId="6" borderId="74" xfId="0" applyNumberFormat="1" applyFont="1" applyFill="1" applyBorder="1" applyAlignment="1">
      <alignment vertical="center"/>
    </xf>
    <xf numFmtId="3" fontId="13" fillId="0" borderId="75" xfId="0" applyNumberFormat="1" applyFont="1" applyBorder="1" applyAlignment="1">
      <alignment horizontal="center" vertical="center"/>
    </xf>
    <xf numFmtId="171" fontId="13" fillId="0" borderId="75" xfId="0" applyNumberFormat="1" applyFont="1" applyBorder="1" applyAlignment="1">
      <alignment horizontal="center" vertical="center"/>
    </xf>
    <xf numFmtId="171" fontId="13" fillId="0" borderId="75" xfId="0" applyNumberFormat="1" applyFont="1" applyBorder="1" applyAlignment="1">
      <alignment vertical="center"/>
    </xf>
    <xf numFmtId="171" fontId="13" fillId="0" borderId="36" xfId="0" applyNumberFormat="1" applyFont="1" applyBorder="1" applyAlignment="1">
      <alignment horizontal="center" vertical="center"/>
    </xf>
    <xf numFmtId="176" fontId="13" fillId="6" borderId="76" xfId="0" applyNumberFormat="1" applyFont="1" applyFill="1" applyBorder="1" applyAlignment="1">
      <alignment horizontal="center" vertical="center"/>
    </xf>
    <xf numFmtId="171" fontId="13" fillId="6" borderId="76" xfId="0" applyNumberFormat="1" applyFont="1" applyFill="1" applyBorder="1" applyAlignment="1">
      <alignment vertical="center"/>
    </xf>
    <xf numFmtId="0" fontId="14" fillId="5" borderId="80" xfId="0" applyFont="1" applyFill="1" applyBorder="1" applyAlignment="1">
      <alignment horizontal="left" vertical="center"/>
    </xf>
    <xf numFmtId="191" fontId="14" fillId="5" borderId="81" xfId="0" applyNumberFormat="1" applyFont="1" applyFill="1" applyBorder="1" applyAlignment="1">
      <alignment horizontal="center" vertical="center"/>
    </xf>
    <xf numFmtId="3" fontId="13" fillId="0" borderId="82" xfId="0" applyNumberFormat="1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172" fontId="13" fillId="0" borderId="82" xfId="0" applyNumberFormat="1" applyFont="1" applyBorder="1" applyAlignment="1">
      <alignment vertical="center"/>
    </xf>
    <xf numFmtId="10" fontId="22" fillId="0" borderId="14" xfId="0" applyNumberFormat="1" applyFont="1" applyBorder="1" applyAlignment="1">
      <alignment horizontal="center" vertical="center"/>
    </xf>
    <xf numFmtId="0" fontId="13" fillId="6" borderId="71" xfId="0" applyFont="1" applyFill="1" applyBorder="1" applyAlignment="1">
      <alignment vertical="center" wrapText="1"/>
    </xf>
    <xf numFmtId="1" fontId="13" fillId="6" borderId="72" xfId="0" applyNumberFormat="1" applyFont="1" applyFill="1" applyBorder="1" applyAlignment="1">
      <alignment horizontal="center" vertical="center"/>
    </xf>
    <xf numFmtId="10" fontId="13" fillId="6" borderId="72" xfId="0" applyNumberFormat="1" applyFont="1" applyFill="1" applyBorder="1" applyAlignment="1">
      <alignment vertical="center"/>
    </xf>
    <xf numFmtId="171" fontId="13" fillId="6" borderId="73" xfId="0" applyNumberFormat="1" applyFont="1" applyFill="1" applyBorder="1" applyAlignment="1">
      <alignment vertical="center"/>
    </xf>
    <xf numFmtId="171" fontId="13" fillId="0" borderId="1" xfId="0" applyNumberFormat="1" applyFont="1" applyBorder="1" applyAlignment="1">
      <alignment vertical="center"/>
    </xf>
    <xf numFmtId="0" fontId="22" fillId="0" borderId="13" xfId="0" applyFont="1" applyBorder="1" applyAlignment="1">
      <alignment vertical="center"/>
    </xf>
    <xf numFmtId="171" fontId="63" fillId="0" borderId="0" xfId="0" applyNumberFormat="1" applyFont="1" applyAlignment="1">
      <alignment horizontal="center" vertical="center"/>
    </xf>
    <xf numFmtId="191" fontId="16" fillId="0" borderId="36" xfId="0" applyNumberFormat="1" applyFont="1" applyBorder="1" applyAlignment="1">
      <alignment horizontal="center" vertical="center"/>
    </xf>
    <xf numFmtId="0" fontId="64" fillId="0" borderId="30" xfId="0" applyFont="1" applyBorder="1" applyAlignment="1">
      <alignment vertical="center"/>
    </xf>
    <xf numFmtId="3" fontId="20" fillId="0" borderId="1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2" fontId="20" fillId="0" borderId="16" xfId="0" applyNumberFormat="1" applyFont="1" applyBorder="1" applyAlignment="1">
      <alignment horizontal="center" vertical="center"/>
    </xf>
    <xf numFmtId="171" fontId="13" fillId="0" borderId="17" xfId="0" applyNumberFormat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171" fontId="33" fillId="9" borderId="80" xfId="0" applyNumberFormat="1" applyFont="1" applyFill="1" applyBorder="1" applyAlignment="1">
      <alignment horizontal="left" vertical="center"/>
    </xf>
    <xf numFmtId="3" fontId="13" fillId="0" borderId="1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3" fontId="39" fillId="0" borderId="0" xfId="0" applyNumberFormat="1" applyFont="1" applyAlignment="1">
      <alignment horizontal="left" vertical="center"/>
    </xf>
    <xf numFmtId="175" fontId="13" fillId="0" borderId="16" xfId="0" applyNumberFormat="1" applyFont="1" applyBorder="1" applyAlignment="1">
      <alignment horizontal="center" vertical="center"/>
    </xf>
    <xf numFmtId="9" fontId="23" fillId="0" borderId="16" xfId="0" applyNumberFormat="1" applyFont="1" applyBorder="1" applyAlignment="1">
      <alignment vertical="center"/>
    </xf>
    <xf numFmtId="175" fontId="19" fillId="0" borderId="0" xfId="0" applyNumberFormat="1" applyFont="1" applyAlignment="1">
      <alignment vertical="center" wrapText="1"/>
    </xf>
    <xf numFmtId="3" fontId="39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1" fontId="22" fillId="0" borderId="49" xfId="0" applyNumberFormat="1" applyFont="1" applyBorder="1" applyAlignment="1">
      <alignment horizontal="center" vertical="center"/>
    </xf>
    <xf numFmtId="9" fontId="47" fillId="0" borderId="0" xfId="0" applyNumberFormat="1" applyFont="1" applyAlignment="1">
      <alignment horizontal="center"/>
    </xf>
    <xf numFmtId="10" fontId="47" fillId="0" borderId="0" xfId="0" applyNumberFormat="1" applyFont="1" applyAlignment="1">
      <alignment horizontal="right"/>
    </xf>
    <xf numFmtId="9" fontId="46" fillId="0" borderId="0" xfId="0" applyNumberFormat="1" applyFont="1" applyAlignment="1">
      <alignment horizontal="center"/>
    </xf>
    <xf numFmtId="171" fontId="47" fillId="0" borderId="0" xfId="0" applyNumberFormat="1" applyFont="1"/>
    <xf numFmtId="180" fontId="47" fillId="0" borderId="0" xfId="0" applyNumberFormat="1" applyFont="1"/>
    <xf numFmtId="168" fontId="53" fillId="0" borderId="0" xfId="0" applyNumberFormat="1" applyFont="1"/>
    <xf numFmtId="0" fontId="4" fillId="0" borderId="83" xfId="0" applyFont="1" applyBorder="1"/>
    <xf numFmtId="168" fontId="4" fillId="0" borderId="83" xfId="0" applyNumberFormat="1" applyFont="1" applyBorder="1"/>
    <xf numFmtId="0" fontId="0" fillId="0" borderId="83" xfId="0" applyBorder="1"/>
    <xf numFmtId="9" fontId="13" fillId="0" borderId="0" xfId="1" applyFont="1"/>
    <xf numFmtId="43" fontId="2" fillId="0" borderId="0" xfId="2" applyFont="1"/>
    <xf numFmtId="192" fontId="2" fillId="0" borderId="0" xfId="0" applyNumberFormat="1" applyFont="1"/>
    <xf numFmtId="0" fontId="2" fillId="0" borderId="4" xfId="0" applyFont="1" applyBorder="1"/>
    <xf numFmtId="0" fontId="2" fillId="0" borderId="4" xfId="0" applyFont="1" applyBorder="1" applyAlignment="1">
      <alignment horizontal="right"/>
    </xf>
    <xf numFmtId="165" fontId="70" fillId="0" borderId="2" xfId="0" applyNumberFormat="1" applyFont="1" applyBorder="1" applyAlignment="1">
      <alignment horizontal="right"/>
    </xf>
    <xf numFmtId="166" fontId="2" fillId="35" borderId="2" xfId="0" applyNumberFormat="1" applyFont="1" applyFill="1" applyBorder="1" applyAlignment="1">
      <alignment horizontal="right"/>
    </xf>
    <xf numFmtId="171" fontId="13" fillId="0" borderId="0" xfId="0" applyNumberFormat="1" applyFont="1" applyAlignment="1">
      <alignment vertical="center"/>
    </xf>
    <xf numFmtId="0" fontId="53" fillId="0" borderId="0" xfId="0" applyFont="1"/>
    <xf numFmtId="0" fontId="13" fillId="0" borderId="83" xfId="0" applyFont="1" applyBorder="1"/>
    <xf numFmtId="6" fontId="13" fillId="0" borderId="83" xfId="0" applyNumberFormat="1" applyFont="1" applyBorder="1"/>
    <xf numFmtId="0" fontId="13" fillId="37" borderId="83" xfId="0" applyFont="1" applyFill="1" applyBorder="1"/>
    <xf numFmtId="0" fontId="16" fillId="38" borderId="83" xfId="0" applyFont="1" applyFill="1" applyBorder="1"/>
    <xf numFmtId="0" fontId="13" fillId="35" borderId="83" xfId="0" applyFont="1" applyFill="1" applyBorder="1"/>
    <xf numFmtId="174" fontId="13" fillId="0" borderId="79" xfId="0" applyNumberFormat="1" applyFont="1" applyBorder="1"/>
    <xf numFmtId="193" fontId="0" fillId="0" borderId="0" xfId="0" applyNumberFormat="1"/>
    <xf numFmtId="183" fontId="46" fillId="0" borderId="0" xfId="0" applyNumberFormat="1" applyFont="1"/>
    <xf numFmtId="10" fontId="23" fillId="0" borderId="15" xfId="0" applyNumberFormat="1" applyFont="1" applyBorder="1" applyAlignment="1">
      <alignment vertical="center"/>
    </xf>
    <xf numFmtId="9" fontId="2" fillId="0" borderId="0" xfId="1" applyFont="1"/>
    <xf numFmtId="164" fontId="2" fillId="0" borderId="4" xfId="0" applyNumberFormat="1" applyFont="1" applyBorder="1"/>
    <xf numFmtId="167" fontId="2" fillId="0" borderId="4" xfId="0" applyNumberFormat="1" applyFont="1" applyBorder="1"/>
    <xf numFmtId="0" fontId="7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/>
    </xf>
    <xf numFmtId="9" fontId="5" fillId="3" borderId="4" xfId="0" applyNumberFormat="1" applyFont="1" applyFill="1" applyBorder="1" applyAlignment="1">
      <alignment horizontal="center"/>
    </xf>
    <xf numFmtId="168" fontId="5" fillId="3" borderId="4" xfId="0" applyNumberFormat="1" applyFont="1" applyFill="1" applyBorder="1" applyAlignment="1">
      <alignment horizontal="center"/>
    </xf>
    <xf numFmtId="169" fontId="5" fillId="3" borderId="4" xfId="0" applyNumberFormat="1" applyFont="1" applyFill="1" applyBorder="1" applyAlignment="1">
      <alignment horizontal="center"/>
    </xf>
    <xf numFmtId="174" fontId="13" fillId="0" borderId="33" xfId="0" applyNumberFormat="1" applyFont="1" applyBorder="1" applyAlignment="1">
      <alignment vertical="center"/>
    </xf>
    <xf numFmtId="0" fontId="27" fillId="6" borderId="35" xfId="0" applyFont="1" applyFill="1" applyBorder="1" applyAlignment="1">
      <alignment horizontal="right" vertical="center" wrapText="1"/>
    </xf>
    <xf numFmtId="10" fontId="28" fillId="0" borderId="76" xfId="0" applyNumberFormat="1" applyFont="1" applyBorder="1" applyAlignment="1">
      <alignment vertical="center"/>
    </xf>
    <xf numFmtId="171" fontId="29" fillId="6" borderId="74" xfId="0" applyNumberFormat="1" applyFont="1" applyFill="1" applyBorder="1" applyAlignment="1">
      <alignment vertical="center"/>
    </xf>
    <xf numFmtId="10" fontId="30" fillId="0" borderId="76" xfId="0" applyNumberFormat="1" applyFont="1" applyBorder="1" applyAlignment="1">
      <alignment vertical="center"/>
    </xf>
    <xf numFmtId="171" fontId="13" fillId="6" borderId="76" xfId="0" applyNumberFormat="1" applyFont="1" applyFill="1" applyBorder="1" applyAlignment="1">
      <alignment horizontal="center" vertical="center"/>
    </xf>
    <xf numFmtId="10" fontId="23" fillId="0" borderId="76" xfId="0" applyNumberFormat="1" applyFont="1" applyBorder="1" applyAlignment="1">
      <alignment vertical="center"/>
    </xf>
    <xf numFmtId="171" fontId="16" fillId="0" borderId="81" xfId="0" applyNumberFormat="1" applyFont="1" applyBorder="1" applyAlignment="1">
      <alignment horizontal="right" vertical="center"/>
    </xf>
    <xf numFmtId="171" fontId="33" fillId="9" borderId="78" xfId="0" applyNumberFormat="1" applyFont="1" applyFill="1" applyBorder="1" applyAlignment="1">
      <alignment horizontal="left" vertical="center"/>
    </xf>
    <xf numFmtId="0" fontId="13" fillId="6" borderId="76" xfId="0" applyFont="1" applyFill="1" applyBorder="1" applyAlignment="1">
      <alignment horizontal="center" vertical="center"/>
    </xf>
    <xf numFmtId="175" fontId="36" fillId="0" borderId="81" xfId="0" applyNumberFormat="1" applyFont="1" applyBorder="1" applyAlignment="1">
      <alignment vertical="center"/>
    </xf>
    <xf numFmtId="180" fontId="14" fillId="0" borderId="81" xfId="0" applyNumberFormat="1" applyFont="1" applyBorder="1" applyAlignment="1">
      <alignment vertical="center"/>
    </xf>
    <xf numFmtId="175" fontId="14" fillId="0" borderId="81" xfId="0" applyNumberFormat="1" applyFont="1" applyBorder="1" applyAlignment="1">
      <alignment vertical="center"/>
    </xf>
    <xf numFmtId="9" fontId="23" fillId="0" borderId="76" xfId="0" applyNumberFormat="1" applyFont="1" applyBorder="1" applyAlignment="1">
      <alignment vertical="center"/>
    </xf>
    <xf numFmtId="171" fontId="13" fillId="6" borderId="74" xfId="0" applyNumberFormat="1" applyFont="1" applyFill="1" applyBorder="1" applyAlignment="1">
      <alignment horizontal="center" vertical="center"/>
    </xf>
    <xf numFmtId="0" fontId="44" fillId="0" borderId="80" xfId="0" applyFont="1" applyBorder="1"/>
    <xf numFmtId="180" fontId="44" fillId="0" borderId="79" xfId="0" applyNumberFormat="1" applyFont="1" applyBorder="1" applyAlignment="1">
      <alignment horizontal="right"/>
    </xf>
    <xf numFmtId="0" fontId="43" fillId="0" borderId="80" xfId="0" applyFont="1" applyBorder="1"/>
    <xf numFmtId="180" fontId="43" fillId="0" borderId="79" xfId="0" applyNumberFormat="1" applyFont="1" applyBorder="1" applyAlignment="1">
      <alignment horizontal="right"/>
    </xf>
    <xf numFmtId="171" fontId="43" fillId="0" borderId="79" xfId="0" applyNumberFormat="1" applyFont="1" applyBorder="1" applyAlignment="1">
      <alignment horizontal="right"/>
    </xf>
    <xf numFmtId="171" fontId="42" fillId="0" borderId="81" xfId="0" applyNumberFormat="1" applyFont="1" applyBorder="1" applyAlignment="1">
      <alignment horizontal="right"/>
    </xf>
    <xf numFmtId="174" fontId="13" fillId="0" borderId="81" xfId="0" applyNumberFormat="1" applyFont="1" applyBorder="1"/>
    <xf numFmtId="174" fontId="13" fillId="18" borderId="4" xfId="0" applyNumberFormat="1" applyFont="1" applyFill="1" applyBorder="1"/>
    <xf numFmtId="174" fontId="13" fillId="18" borderId="4" xfId="0" applyNumberFormat="1" applyFont="1" applyFill="1" applyBorder="1" applyAlignment="1">
      <alignment horizontal="center"/>
    </xf>
    <xf numFmtId="174" fontId="16" fillId="18" borderId="4" xfId="0" applyNumberFormat="1" applyFont="1" applyFill="1" applyBorder="1" applyAlignment="1">
      <alignment horizontal="center"/>
    </xf>
    <xf numFmtId="174" fontId="13" fillId="20" borderId="4" xfId="0" applyNumberFormat="1" applyFont="1" applyFill="1" applyBorder="1"/>
    <xf numFmtId="10" fontId="13" fillId="20" borderId="4" xfId="0" applyNumberFormat="1" applyFont="1" applyFill="1" applyBorder="1" applyAlignment="1">
      <alignment horizontal="center"/>
    </xf>
    <xf numFmtId="174" fontId="13" fillId="20" borderId="4" xfId="0" applyNumberFormat="1" applyFont="1" applyFill="1" applyBorder="1" applyAlignment="1">
      <alignment horizontal="center"/>
    </xf>
    <xf numFmtId="174" fontId="13" fillId="21" borderId="4" xfId="0" applyNumberFormat="1" applyFont="1" applyFill="1" applyBorder="1" applyAlignment="1">
      <alignment horizontal="center"/>
    </xf>
    <xf numFmtId="174" fontId="13" fillId="19" borderId="4" xfId="0" applyNumberFormat="1" applyFont="1" applyFill="1" applyBorder="1"/>
    <xf numFmtId="174" fontId="13" fillId="19" borderId="4" xfId="0" applyNumberFormat="1" applyFont="1" applyFill="1" applyBorder="1" applyAlignment="1">
      <alignment horizontal="right"/>
    </xf>
    <xf numFmtId="174" fontId="16" fillId="19" borderId="4" xfId="0" applyNumberFormat="1" applyFont="1" applyFill="1" applyBorder="1" applyAlignment="1">
      <alignment horizontal="center"/>
    </xf>
    <xf numFmtId="174" fontId="51" fillId="19" borderId="4" xfId="0" applyNumberFormat="1" applyFont="1" applyFill="1" applyBorder="1"/>
    <xf numFmtId="9" fontId="14" fillId="19" borderId="4" xfId="0" applyNumberFormat="1" applyFont="1" applyFill="1" applyBorder="1" applyAlignment="1">
      <alignment horizontal="center"/>
    </xf>
    <xf numFmtId="9" fontId="16" fillId="19" borderId="4" xfId="0" applyNumberFormat="1" applyFont="1" applyFill="1" applyBorder="1" applyAlignment="1">
      <alignment horizontal="center"/>
    </xf>
    <xf numFmtId="174" fontId="13" fillId="17" borderId="4" xfId="0" applyNumberFormat="1" applyFont="1" applyFill="1" applyBorder="1" applyAlignment="1">
      <alignment horizontal="right"/>
    </xf>
    <xf numFmtId="10" fontId="16" fillId="17" borderId="4" xfId="0" applyNumberFormat="1" applyFont="1" applyFill="1" applyBorder="1" applyAlignment="1">
      <alignment horizontal="right"/>
    </xf>
    <xf numFmtId="174" fontId="13" fillId="19" borderId="4" xfId="0" applyNumberFormat="1" applyFont="1" applyFill="1" applyBorder="1" applyAlignment="1">
      <alignment horizontal="center"/>
    </xf>
    <xf numFmtId="166" fontId="13" fillId="17" borderId="4" xfId="0" applyNumberFormat="1" applyFont="1" applyFill="1" applyBorder="1" applyAlignment="1">
      <alignment horizontal="right"/>
    </xf>
    <xf numFmtId="166" fontId="16" fillId="17" borderId="4" xfId="0" applyNumberFormat="1" applyFont="1" applyFill="1" applyBorder="1" applyAlignment="1">
      <alignment horizontal="right"/>
    </xf>
    <xf numFmtId="174" fontId="13" fillId="27" borderId="4" xfId="0" applyNumberFormat="1" applyFont="1" applyFill="1" applyBorder="1" applyAlignment="1">
      <alignment horizontal="right"/>
    </xf>
    <xf numFmtId="174" fontId="23" fillId="27" borderId="4" xfId="0" applyNumberFormat="1" applyFont="1" applyFill="1" applyBorder="1" applyAlignment="1">
      <alignment horizontal="right"/>
    </xf>
    <xf numFmtId="0" fontId="43" fillId="0" borderId="4" xfId="0" applyFont="1" applyBorder="1" applyAlignment="1">
      <alignment horizontal="right"/>
    </xf>
    <xf numFmtId="0" fontId="24" fillId="33" borderId="4" xfId="0" applyFont="1" applyFill="1" applyBorder="1" applyAlignment="1">
      <alignment horizontal="center"/>
    </xf>
    <xf numFmtId="183" fontId="24" fillId="33" borderId="4" xfId="0" applyNumberFormat="1" applyFont="1" applyFill="1" applyBorder="1" applyAlignment="1">
      <alignment horizontal="right"/>
    </xf>
    <xf numFmtId="0" fontId="24" fillId="33" borderId="4" xfId="0" applyFont="1" applyFill="1" applyBorder="1"/>
    <xf numFmtId="0" fontId="58" fillId="15" borderId="4" xfId="0" applyFont="1" applyFill="1" applyBorder="1" applyAlignment="1">
      <alignment horizontal="right"/>
    </xf>
    <xf numFmtId="0" fontId="46" fillId="0" borderId="4" xfId="0" applyFont="1" applyBorder="1"/>
    <xf numFmtId="183" fontId="46" fillId="15" borderId="4" xfId="0" applyNumberFormat="1" applyFont="1" applyFill="1" applyBorder="1" applyAlignment="1">
      <alignment horizontal="right"/>
    </xf>
    <xf numFmtId="168" fontId="59" fillId="33" borderId="4" xfId="0" applyNumberFormat="1" applyFont="1" applyFill="1" applyBorder="1" applyAlignment="1">
      <alignment horizontal="right"/>
    </xf>
    <xf numFmtId="0" fontId="46" fillId="15" borderId="4" xfId="0" applyFont="1" applyFill="1" applyBorder="1"/>
    <xf numFmtId="183" fontId="46" fillId="0" borderId="4" xfId="0" applyNumberFormat="1" applyFont="1" applyBorder="1" applyAlignment="1">
      <alignment horizontal="right"/>
    </xf>
    <xf numFmtId="168" fontId="46" fillId="0" borderId="4" xfId="0" applyNumberFormat="1" applyFont="1" applyBorder="1" applyAlignment="1">
      <alignment horizontal="right"/>
    </xf>
    <xf numFmtId="0" fontId="13" fillId="0" borderId="33" xfId="0" applyFont="1" applyBorder="1" applyAlignment="1">
      <alignment vertical="center"/>
    </xf>
    <xf numFmtId="171" fontId="14" fillId="5" borderId="78" xfId="0" applyNumberFormat="1" applyFont="1" applyFill="1" applyBorder="1" applyAlignment="1">
      <alignment horizontal="center" vertical="center"/>
    </xf>
    <xf numFmtId="0" fontId="13" fillId="0" borderId="35" xfId="0" applyFont="1" applyBorder="1" applyAlignment="1">
      <alignment vertical="center" wrapText="1"/>
    </xf>
    <xf numFmtId="10" fontId="22" fillId="0" borderId="79" xfId="0" applyNumberFormat="1" applyFont="1" applyBorder="1" applyAlignment="1">
      <alignment horizontal="center" vertical="center"/>
    </xf>
    <xf numFmtId="174" fontId="27" fillId="20" borderId="57" xfId="0" applyNumberFormat="1" applyFont="1" applyFill="1" applyBorder="1" applyAlignment="1">
      <alignment horizontal="left"/>
    </xf>
    <xf numFmtId="43" fontId="0" fillId="0" borderId="0" xfId="0" applyNumberFormat="1"/>
    <xf numFmtId="194" fontId="2" fillId="0" borderId="0" xfId="0" applyNumberFormat="1" applyFont="1"/>
    <xf numFmtId="0" fontId="1" fillId="0" borderId="78" xfId="0" applyFont="1" applyBorder="1" applyAlignment="1">
      <alignment horizontal="center" wrapText="1"/>
    </xf>
    <xf numFmtId="0" fontId="2" fillId="35" borderId="50" xfId="0" applyFont="1" applyFill="1" applyBorder="1"/>
    <xf numFmtId="0" fontId="2" fillId="35" borderId="55" xfId="0" applyFont="1" applyFill="1" applyBorder="1"/>
    <xf numFmtId="0" fontId="2" fillId="36" borderId="55" xfId="0" applyFont="1" applyFill="1" applyBorder="1"/>
    <xf numFmtId="0" fontId="2" fillId="0" borderId="55" xfId="0" applyFont="1" applyBorder="1"/>
    <xf numFmtId="0" fontId="1" fillId="0" borderId="50" xfId="0" applyFont="1" applyBorder="1"/>
    <xf numFmtId="0" fontId="2" fillId="0" borderId="78" xfId="0" applyFont="1" applyBorder="1"/>
    <xf numFmtId="171" fontId="14" fillId="10" borderId="26" xfId="0" applyNumberFormat="1" applyFont="1" applyFill="1" applyBorder="1" applyAlignment="1">
      <alignment horizontal="center" vertical="center"/>
    </xf>
    <xf numFmtId="171" fontId="45" fillId="10" borderId="26" xfId="0" applyNumberFormat="1" applyFont="1" applyFill="1" applyBorder="1" applyAlignment="1">
      <alignment horizontal="center" vertical="center"/>
    </xf>
    <xf numFmtId="171" fontId="22" fillId="4" borderId="26" xfId="0" applyNumberFormat="1" applyFont="1" applyFill="1" applyBorder="1" applyAlignment="1">
      <alignment horizontal="center" vertical="center"/>
    </xf>
    <xf numFmtId="171" fontId="33" fillId="9" borderId="80" xfId="0" applyNumberFormat="1" applyFont="1" applyFill="1" applyBorder="1" applyAlignment="1">
      <alignment horizontal="left" vertical="center"/>
    </xf>
    <xf numFmtId="171" fontId="33" fillId="9" borderId="78" xfId="0" applyNumberFormat="1" applyFont="1" applyFill="1" applyBorder="1" applyAlignment="1">
      <alignment horizontal="right" vertical="center"/>
    </xf>
    <xf numFmtId="174" fontId="16" fillId="4" borderId="27" xfId="0" applyNumberFormat="1" applyFont="1" applyFill="1" applyBorder="1" applyAlignment="1">
      <alignment horizontal="center" vertical="center"/>
    </xf>
    <xf numFmtId="10" fontId="14" fillId="7" borderId="26" xfId="0" applyNumberFormat="1" applyFont="1" applyFill="1" applyBorder="1" applyAlignment="1">
      <alignment horizontal="center" vertical="center"/>
    </xf>
    <xf numFmtId="171" fontId="14" fillId="5" borderId="40" xfId="0" applyNumberFormat="1" applyFont="1" applyFill="1" applyBorder="1" applyAlignment="1">
      <alignment horizontal="center" vertical="center"/>
    </xf>
    <xf numFmtId="171" fontId="14" fillId="5" borderId="26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7" fillId="4" borderId="27" xfId="0" applyFont="1" applyFill="1" applyBorder="1" applyAlignment="1">
      <alignment horizontal="center" vertical="center"/>
    </xf>
    <xf numFmtId="0" fontId="17" fillId="5" borderId="27" xfId="0" applyFont="1" applyFill="1" applyBorder="1" applyAlignment="1">
      <alignment horizontal="center" vertical="center"/>
    </xf>
    <xf numFmtId="0" fontId="16" fillId="4" borderId="27" xfId="0" applyFont="1" applyFill="1" applyBorder="1" applyAlignment="1">
      <alignment horizontal="center" vertical="center"/>
    </xf>
    <xf numFmtId="0" fontId="16" fillId="5" borderId="27" xfId="0" applyFont="1" applyFill="1" applyBorder="1" applyAlignment="1">
      <alignment horizontal="center" vertical="center"/>
    </xf>
    <xf numFmtId="0" fontId="24" fillId="13" borderId="50" xfId="0" applyFont="1" applyFill="1" applyBorder="1" applyAlignment="1">
      <alignment horizontal="left"/>
    </xf>
    <xf numFmtId="0" fontId="24" fillId="14" borderId="50" xfId="0" applyFont="1" applyFill="1" applyBorder="1" applyAlignment="1">
      <alignment horizontal="left"/>
    </xf>
    <xf numFmtId="0" fontId="24" fillId="14" borderId="0" xfId="0" applyFont="1" applyFill="1" applyAlignment="1">
      <alignment horizontal="left"/>
    </xf>
    <xf numFmtId="0" fontId="24" fillId="13" borderId="0" xfId="0" applyFont="1" applyFill="1" applyAlignment="1">
      <alignment horizontal="left"/>
    </xf>
    <xf numFmtId="174" fontId="22" fillId="24" borderId="39" xfId="0" applyNumberFormat="1" applyFont="1" applyFill="1" applyBorder="1" applyAlignment="1">
      <alignment horizontal="center"/>
    </xf>
    <xf numFmtId="174" fontId="16" fillId="25" borderId="39" xfId="0" applyNumberFormat="1" applyFont="1" applyFill="1" applyBorder="1" applyAlignment="1">
      <alignment horizontal="center"/>
    </xf>
    <xf numFmtId="10" fontId="13" fillId="19" borderId="6" xfId="0" applyNumberFormat="1" applyFont="1" applyFill="1" applyBorder="1" applyAlignment="1">
      <alignment horizontal="center"/>
    </xf>
    <xf numFmtId="174" fontId="48" fillId="0" borderId="0" xfId="0" applyNumberFormat="1" applyFont="1" applyAlignment="1">
      <alignment horizontal="center"/>
    </xf>
    <xf numFmtId="174" fontId="22" fillId="18" borderId="5" xfId="0" applyNumberFormat="1" applyFont="1" applyFill="1" applyBorder="1" applyAlignment="1">
      <alignment horizontal="center" vertical="center" wrapText="1"/>
    </xf>
    <xf numFmtId="174" fontId="22" fillId="19" borderId="39" xfId="0" applyNumberFormat="1" applyFont="1" applyFill="1" applyBorder="1" applyAlignment="1">
      <alignment horizontal="center"/>
    </xf>
    <xf numFmtId="174" fontId="22" fillId="21" borderId="39" xfId="0" applyNumberFormat="1" applyFont="1" applyFill="1" applyBorder="1" applyAlignment="1">
      <alignment horizontal="center"/>
    </xf>
    <xf numFmtId="174" fontId="49" fillId="20" borderId="5" xfId="0" applyNumberFormat="1" applyFont="1" applyFill="1" applyBorder="1" applyAlignment="1">
      <alignment horizontal="center" vertical="center" textRotation="90"/>
    </xf>
    <xf numFmtId="186" fontId="16" fillId="0" borderId="6" xfId="0" applyNumberFormat="1" applyFont="1" applyBorder="1" applyAlignment="1">
      <alignment horizontal="center"/>
    </xf>
    <xf numFmtId="174" fontId="26" fillId="21" borderId="39" xfId="0" applyNumberFormat="1" applyFont="1" applyFill="1" applyBorder="1" applyAlignment="1">
      <alignment horizontal="center"/>
    </xf>
    <xf numFmtId="174" fontId="16" fillId="24" borderId="39" xfId="0" applyNumberFormat="1" applyFont="1" applyFill="1" applyBorder="1" applyAlignment="1">
      <alignment horizontal="center"/>
    </xf>
    <xf numFmtId="174" fontId="26" fillId="23" borderId="79" xfId="0" applyNumberFormat="1" applyFont="1" applyFill="1" applyBorder="1" applyAlignment="1">
      <alignment horizontal="center" vertical="center"/>
    </xf>
    <xf numFmtId="174" fontId="16" fillId="18" borderId="79" xfId="0" applyNumberFormat="1" applyFont="1" applyFill="1" applyBorder="1" applyAlignment="1">
      <alignment horizontal="center" vertical="center"/>
    </xf>
    <xf numFmtId="174" fontId="16" fillId="19" borderId="39" xfId="0" applyNumberFormat="1" applyFont="1" applyFill="1" applyBorder="1" applyAlignment="1">
      <alignment horizontal="center"/>
    </xf>
    <xf numFmtId="174" fontId="16" fillId="0" borderId="0" xfId="0" applyNumberFormat="1" applyFont="1" applyAlignment="1">
      <alignment horizontal="center" vertical="center"/>
    </xf>
    <xf numFmtId="174" fontId="26" fillId="21" borderId="6" xfId="0" applyNumberFormat="1" applyFont="1" applyFill="1" applyBorder="1" applyAlignment="1">
      <alignment horizontal="center"/>
    </xf>
    <xf numFmtId="174" fontId="26" fillId="20" borderId="79" xfId="0" applyNumberFormat="1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/>
    </xf>
    <xf numFmtId="0" fontId="52" fillId="28" borderId="0" xfId="0" applyFont="1" applyFill="1" applyAlignment="1">
      <alignment horizontal="center" vertical="center"/>
    </xf>
    <xf numFmtId="0" fontId="57" fillId="0" borderId="0" xfId="0" applyFont="1" applyAlignment="1">
      <alignment horizontal="center"/>
    </xf>
    <xf numFmtId="0" fontId="65" fillId="0" borderId="0" xfId="0" applyFont="1" applyAlignment="1">
      <alignment horizontal="right" vertical="center"/>
    </xf>
    <xf numFmtId="171" fontId="14" fillId="5" borderId="7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0" fillId="0" borderId="0" xfId="0" applyAlignment="1"/>
    <xf numFmtId="0" fontId="18" fillId="0" borderId="7" xfId="0" applyFont="1" applyBorder="1" applyAlignment="1"/>
    <xf numFmtId="0" fontId="18" fillId="0" borderId="28" xfId="0" applyFont="1" applyBorder="1" applyAlignment="1"/>
    <xf numFmtId="0" fontId="18" fillId="0" borderId="39" xfId="0" applyFont="1" applyBorder="1" applyAlignment="1"/>
    <xf numFmtId="0" fontId="18" fillId="0" borderId="81" xfId="0" applyFont="1" applyBorder="1" applyAlignment="1"/>
    <xf numFmtId="0" fontId="18" fillId="0" borderId="79" xfId="0" applyFont="1" applyBorder="1" applyAlignment="1"/>
    <xf numFmtId="0" fontId="18" fillId="0" borderId="80" xfId="0" applyFont="1" applyBorder="1" applyAlignment="1"/>
    <xf numFmtId="0" fontId="18" fillId="0" borderId="78" xfId="0" applyFont="1" applyBorder="1" applyAlignment="1"/>
    <xf numFmtId="0" fontId="46" fillId="11" borderId="0" xfId="0" applyFont="1" applyFill="1" applyAlignment="1"/>
    <xf numFmtId="0" fontId="46" fillId="0" borderId="0" xfId="0" applyFont="1" applyAlignment="1"/>
    <xf numFmtId="0" fontId="24" fillId="0" borderId="0" xfId="0" applyFont="1" applyAlignment="1"/>
    <xf numFmtId="0" fontId="18" fillId="0" borderId="51" xfId="0" applyFont="1" applyBorder="1" applyAlignment="1"/>
    <xf numFmtId="0" fontId="46" fillId="14" borderId="0" xfId="0" applyFont="1" applyFill="1" applyAlignment="1"/>
    <xf numFmtId="0" fontId="18" fillId="0" borderId="6" xfId="0" applyFont="1" applyBorder="1" applyAlignment="1"/>
    <xf numFmtId="0" fontId="18" fillId="0" borderId="4" xfId="0" applyFont="1" applyBorder="1" applyAlignment="1"/>
    <xf numFmtId="0" fontId="18" fillId="0" borderId="5" xfId="0" applyFont="1" applyBorder="1" applyAlignment="1"/>
    <xf numFmtId="0" fontId="18" fillId="0" borderId="56" xfId="0" applyFont="1" applyBorder="1" applyAlignment="1"/>
    <xf numFmtId="0" fontId="18" fillId="0" borderId="29" xfId="0" applyFont="1" applyBorder="1" applyAlignment="1"/>
    <xf numFmtId="0" fontId="18" fillId="0" borderId="69" xfId="0" applyFont="1" applyBorder="1" applyAlignment="1"/>
    <xf numFmtId="174" fontId="13" fillId="19" borderId="6" xfId="0" applyNumberFormat="1" applyFont="1" applyFill="1" applyBorder="1" applyAlignment="1"/>
    <xf numFmtId="0" fontId="56" fillId="2" borderId="0" xfId="0" applyFont="1" applyFill="1" applyAlignment="1"/>
  </cellXfs>
  <cellStyles count="3">
    <cellStyle name="Čárka" xfId="2" builtinId="3"/>
    <cellStyle name="Normální" xfId="0" builtinId="0"/>
    <cellStyle name="Procenta" xfId="1" builtinId="5"/>
  </cellStyles>
  <dxfs count="1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300-000054D6AC76}"/>
            </a:ext>
            <a:ext uri="GoogleSheetsCustomDataVersion1">
              <go:sheetsCustomData xmlns="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 xmlns:go="http://customooxmlschemas.google.com/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lma Taborová" id="{1D30B048-F19D-0541-B571-E9C419832CC9}" userId="S::vilma.taborova@ldparks.cz::8511cce5-d4ea-455f-b618-9a01229268ae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" dT="2025-06-16T07:05:32.62" personId="{1D30B048-F19D-0541-B571-E9C419832CC9}" id="{7D447223-A9C0-E342-A430-A6780CB69971}">
    <text>Zřejmě neuzavřená NS, navýším nájem ba obvyklých 45, pokud nebude souhlasit obsadím jiným trafikantem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zoomScaleNormal="100" workbookViewId="0">
      <pane xSplit="1" topLeftCell="E1" activePane="topRight" state="frozen"/>
      <selection pane="topRight" activeCell="E28" sqref="E28"/>
    </sheetView>
  </sheetViews>
  <sheetFormatPr defaultColWidth="12.625" defaultRowHeight="15" customHeight="1"/>
  <cols>
    <col min="1" max="1" width="20.625" customWidth="1"/>
    <col min="2" max="2" width="12" customWidth="1"/>
    <col min="3" max="3" width="10.625" customWidth="1"/>
    <col min="4" max="4" width="9.125" customWidth="1"/>
    <col min="5" max="5" width="22.125" customWidth="1"/>
    <col min="6" max="6" width="25.125" customWidth="1"/>
    <col min="7" max="7" width="16" customWidth="1"/>
    <col min="8" max="8" width="14.625" customWidth="1"/>
    <col min="9" max="9" width="19.625" customWidth="1"/>
    <col min="10" max="10" width="14.375" customWidth="1"/>
    <col min="11" max="11" width="10.625" customWidth="1"/>
    <col min="12" max="12" width="20.875" customWidth="1"/>
    <col min="13" max="13" width="11.125" customWidth="1"/>
    <col min="14" max="22" width="10.625" customWidth="1"/>
    <col min="23" max="23" width="12" customWidth="1"/>
    <col min="24" max="26" width="10.625" customWidth="1"/>
  </cols>
  <sheetData>
    <row r="1" spans="1:26" ht="13.5" customHeight="1">
      <c r="A1" s="546" t="s">
        <v>0</v>
      </c>
      <c r="B1" s="2" t="s">
        <v>1</v>
      </c>
      <c r="C1" s="546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3"/>
      <c r="U1" s="3"/>
      <c r="V1" s="3"/>
      <c r="W1" s="4" t="s">
        <v>18</v>
      </c>
      <c r="X1" s="3"/>
      <c r="Y1" s="3"/>
      <c r="Z1" s="3"/>
    </row>
    <row r="2" spans="1:26" ht="13.5" customHeight="1">
      <c r="A2" s="547" t="s">
        <v>19</v>
      </c>
      <c r="B2" s="4" t="s">
        <v>18</v>
      </c>
      <c r="C2" s="5">
        <v>1300</v>
      </c>
      <c r="D2" s="6" t="s">
        <v>20</v>
      </c>
      <c r="E2" s="7">
        <v>10.49</v>
      </c>
      <c r="F2" s="8">
        <f>E2*$B$19</f>
        <v>262.25</v>
      </c>
      <c r="G2" s="8">
        <f t="shared" ref="G2:G12" si="0">C2*F2</f>
        <v>340925</v>
      </c>
      <c r="H2" s="8">
        <f t="shared" ref="H2:H12" si="1">G2*0.21</f>
        <v>71594.25</v>
      </c>
      <c r="I2" s="8">
        <v>50</v>
      </c>
      <c r="J2" s="8">
        <f t="shared" ref="J2:J12" si="2">I2*C2</f>
        <v>65000</v>
      </c>
      <c r="K2" s="8">
        <f t="shared" ref="K2:K12" si="3">J2*0.21</f>
        <v>13650</v>
      </c>
      <c r="L2" s="8">
        <f t="shared" ref="L2:L12" si="4">G2+J2</f>
        <v>405925</v>
      </c>
      <c r="M2" s="8">
        <f t="shared" ref="M2:M12" si="5">SUM(G2:K2)-I2</f>
        <v>491169.25</v>
      </c>
      <c r="N2" s="4"/>
      <c r="O2" s="4"/>
      <c r="P2" s="4"/>
      <c r="Q2" s="4"/>
      <c r="R2" s="4"/>
      <c r="S2" s="3"/>
      <c r="T2" s="3"/>
      <c r="U2" s="3"/>
      <c r="V2" s="3"/>
      <c r="W2" s="4" t="s">
        <v>21</v>
      </c>
      <c r="X2" s="3"/>
      <c r="Y2" s="3"/>
      <c r="Z2" s="3"/>
    </row>
    <row r="3" spans="1:26" ht="13.5" customHeight="1">
      <c r="A3" s="548" t="s">
        <v>22</v>
      </c>
      <c r="B3" s="4" t="s">
        <v>18</v>
      </c>
      <c r="C3" s="464">
        <v>132</v>
      </c>
      <c r="D3" s="479" t="s">
        <v>20</v>
      </c>
      <c r="E3" s="7">
        <v>18</v>
      </c>
      <c r="F3" s="8">
        <f>E3*$B$19</f>
        <v>450</v>
      </c>
      <c r="G3" s="8">
        <f t="shared" si="0"/>
        <v>59400</v>
      </c>
      <c r="H3" s="9">
        <f t="shared" si="1"/>
        <v>12474</v>
      </c>
      <c r="I3" s="8">
        <v>38</v>
      </c>
      <c r="J3" s="466">
        <f>I3*C3</f>
        <v>5016</v>
      </c>
      <c r="K3" s="8">
        <f t="shared" si="3"/>
        <v>1053.3599999999999</v>
      </c>
      <c r="L3" s="9">
        <f t="shared" si="4"/>
        <v>64416</v>
      </c>
      <c r="M3" s="8">
        <f t="shared" si="5"/>
        <v>77943.360000000001</v>
      </c>
      <c r="N3" s="4"/>
      <c r="O3" s="4"/>
      <c r="P3" s="4"/>
      <c r="Q3" s="4"/>
      <c r="R3" s="4"/>
      <c r="S3" s="3"/>
      <c r="T3" s="3"/>
      <c r="V3" s="3"/>
      <c r="W3" s="4" t="s">
        <v>23</v>
      </c>
      <c r="X3" s="3"/>
      <c r="Y3" s="3"/>
      <c r="Z3" s="3"/>
    </row>
    <row r="4" spans="1:26" ht="13.5" customHeight="1">
      <c r="A4" s="549" t="s">
        <v>24</v>
      </c>
      <c r="B4" s="4" t="s">
        <v>21</v>
      </c>
      <c r="C4" s="464">
        <v>703</v>
      </c>
      <c r="D4" s="479" t="s">
        <v>20</v>
      </c>
      <c r="E4" s="7">
        <v>10</v>
      </c>
      <c r="F4" s="8">
        <f>E4*$B$19</f>
        <v>250</v>
      </c>
      <c r="G4" s="8">
        <f t="shared" si="0"/>
        <v>175750</v>
      </c>
      <c r="H4" s="9">
        <f t="shared" si="1"/>
        <v>36907.5</v>
      </c>
      <c r="I4" s="8">
        <v>40</v>
      </c>
      <c r="J4" s="8">
        <f t="shared" si="2"/>
        <v>28120</v>
      </c>
      <c r="K4" s="8">
        <f t="shared" si="3"/>
        <v>5905.2</v>
      </c>
      <c r="L4" s="9">
        <f t="shared" si="4"/>
        <v>203870</v>
      </c>
      <c r="M4" s="8">
        <f t="shared" si="5"/>
        <v>246682.7</v>
      </c>
      <c r="N4" s="4"/>
      <c r="O4" s="4"/>
      <c r="P4" s="4"/>
      <c r="Q4" s="4"/>
      <c r="R4" s="4"/>
      <c r="S4" s="3"/>
      <c r="T4" s="3"/>
      <c r="U4" s="3"/>
      <c r="V4" s="3"/>
      <c r="W4" s="3"/>
      <c r="X4" s="3"/>
      <c r="Y4" s="3"/>
      <c r="Z4" s="3"/>
    </row>
    <row r="5" spans="1:26" ht="13.5" customHeight="1">
      <c r="A5" s="548" t="s">
        <v>25</v>
      </c>
      <c r="B5" s="4" t="s">
        <v>21</v>
      </c>
      <c r="C5" s="464">
        <v>250</v>
      </c>
      <c r="D5" s="479" t="s">
        <v>20</v>
      </c>
      <c r="E5" s="7">
        <v>13.3</v>
      </c>
      <c r="F5" s="8">
        <f>E5*$B$19</f>
        <v>332.5</v>
      </c>
      <c r="G5" s="8">
        <f t="shared" si="0"/>
        <v>83125</v>
      </c>
      <c r="H5" s="9">
        <f t="shared" si="1"/>
        <v>17456.25</v>
      </c>
      <c r="I5" s="8">
        <f>1.5*$B$19</f>
        <v>37.5</v>
      </c>
      <c r="J5" s="8">
        <f t="shared" si="2"/>
        <v>9375</v>
      </c>
      <c r="K5" s="8">
        <f t="shared" si="3"/>
        <v>1968.75</v>
      </c>
      <c r="L5" s="9">
        <f t="shared" si="4"/>
        <v>92500</v>
      </c>
      <c r="M5" s="8">
        <f t="shared" si="5"/>
        <v>111925</v>
      </c>
      <c r="N5" s="4"/>
      <c r="O5" s="4"/>
      <c r="P5" s="4"/>
      <c r="Q5" s="4"/>
      <c r="R5" s="4"/>
      <c r="S5" s="3"/>
      <c r="T5" s="3"/>
      <c r="U5" s="3"/>
      <c r="V5" s="3"/>
      <c r="W5" s="3"/>
      <c r="X5" s="3"/>
      <c r="Y5" s="3"/>
      <c r="Z5" s="3"/>
    </row>
    <row r="6" spans="1:26" ht="13.5" customHeight="1">
      <c r="A6" s="548" t="s">
        <v>26</v>
      </c>
      <c r="B6" s="4" t="s">
        <v>18</v>
      </c>
      <c r="C6" s="464">
        <v>550</v>
      </c>
      <c r="D6" s="479" t="s">
        <v>20</v>
      </c>
      <c r="E6" s="7">
        <v>9.5</v>
      </c>
      <c r="F6" s="8">
        <f t="shared" ref="F6:F11" si="6">E6*$B$19</f>
        <v>237.5</v>
      </c>
      <c r="G6" s="8">
        <f t="shared" ref="G6:G11" si="7">C6*F6</f>
        <v>130625</v>
      </c>
      <c r="H6" s="9">
        <f t="shared" ref="H6:H11" si="8">G6*0.21</f>
        <v>27431.25</v>
      </c>
      <c r="I6" s="8">
        <f>1.5*$B$19</f>
        <v>37.5</v>
      </c>
      <c r="J6" s="8">
        <f t="shared" ref="J6:J11" si="9">I6*C6</f>
        <v>20625</v>
      </c>
      <c r="K6" s="8">
        <f t="shared" ref="K6:K11" si="10">J6*0.21</f>
        <v>4331.25</v>
      </c>
      <c r="L6" s="9">
        <f t="shared" ref="L6:L11" si="11">G6+J6</f>
        <v>151250</v>
      </c>
      <c r="M6" s="8">
        <f t="shared" ref="M6:M11" si="12">SUM(G6:K6)-I6</f>
        <v>183012.5</v>
      </c>
      <c r="N6" s="4"/>
      <c r="O6" s="4"/>
      <c r="P6" s="4"/>
      <c r="Q6" s="4"/>
      <c r="R6" s="4"/>
      <c r="S6" s="3"/>
      <c r="T6" s="3"/>
      <c r="U6" s="3"/>
      <c r="V6" s="3"/>
      <c r="W6" s="3"/>
      <c r="X6" s="3"/>
      <c r="Y6" s="3"/>
      <c r="Z6" s="3"/>
    </row>
    <row r="7" spans="1:26" ht="13.5" customHeight="1">
      <c r="A7" s="548" t="s">
        <v>27</v>
      </c>
      <c r="B7" s="4" t="s">
        <v>21</v>
      </c>
      <c r="C7" s="464">
        <v>449</v>
      </c>
      <c r="D7" s="480" t="s">
        <v>20</v>
      </c>
      <c r="E7" s="7">
        <v>12.35</v>
      </c>
      <c r="F7" s="8">
        <f t="shared" si="6"/>
        <v>308.75</v>
      </c>
      <c r="G7" s="8">
        <f t="shared" si="7"/>
        <v>138628.75</v>
      </c>
      <c r="H7" s="9">
        <f t="shared" si="8"/>
        <v>29112.037499999999</v>
      </c>
      <c r="I7" s="8">
        <f>1.8*$B$19</f>
        <v>45</v>
      </c>
      <c r="J7" s="8">
        <f t="shared" si="9"/>
        <v>20205</v>
      </c>
      <c r="K7" s="9">
        <f t="shared" si="10"/>
        <v>4243.05</v>
      </c>
      <c r="L7" s="9">
        <f t="shared" si="11"/>
        <v>158833.75</v>
      </c>
      <c r="M7" s="8">
        <f t="shared" si="12"/>
        <v>192188.83749999999</v>
      </c>
      <c r="N7" s="4"/>
      <c r="O7" s="4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13.5" customHeight="1">
      <c r="A8" s="549" t="s">
        <v>28</v>
      </c>
      <c r="B8" s="4" t="s">
        <v>21</v>
      </c>
      <c r="C8" s="464">
        <v>55</v>
      </c>
      <c r="D8" s="480" t="s">
        <v>20</v>
      </c>
      <c r="E8" s="465">
        <v>25</v>
      </c>
      <c r="F8" s="8">
        <f t="shared" si="6"/>
        <v>625</v>
      </c>
      <c r="G8" s="8">
        <f t="shared" si="7"/>
        <v>34375</v>
      </c>
      <c r="H8" s="9">
        <f t="shared" si="8"/>
        <v>7218.75</v>
      </c>
      <c r="I8" s="8">
        <f>1.8*$B$19</f>
        <v>45</v>
      </c>
      <c r="J8" s="8">
        <f t="shared" si="9"/>
        <v>2475</v>
      </c>
      <c r="K8" s="9">
        <f t="shared" si="10"/>
        <v>519.75</v>
      </c>
      <c r="L8" s="9">
        <f t="shared" si="11"/>
        <v>36850</v>
      </c>
      <c r="M8" s="8">
        <f t="shared" si="12"/>
        <v>44588.5</v>
      </c>
      <c r="N8" s="4"/>
      <c r="O8" s="4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13.5" customHeight="1">
      <c r="A9" s="548" t="s">
        <v>29</v>
      </c>
      <c r="B9" s="4" t="s">
        <v>21</v>
      </c>
      <c r="C9" s="464">
        <v>180</v>
      </c>
      <c r="D9" s="480" t="s">
        <v>20</v>
      </c>
      <c r="E9" s="7">
        <v>18</v>
      </c>
      <c r="F9" s="8">
        <f t="shared" si="6"/>
        <v>450</v>
      </c>
      <c r="G9" s="8">
        <f t="shared" si="7"/>
        <v>81000</v>
      </c>
      <c r="H9" s="9">
        <f t="shared" si="8"/>
        <v>17010</v>
      </c>
      <c r="I9" s="8">
        <v>45</v>
      </c>
      <c r="J9" s="8">
        <f t="shared" si="9"/>
        <v>8100</v>
      </c>
      <c r="K9" s="9">
        <f t="shared" si="10"/>
        <v>1701</v>
      </c>
      <c r="L9" s="9">
        <f t="shared" si="11"/>
        <v>89100</v>
      </c>
      <c r="M9" s="8">
        <f t="shared" si="12"/>
        <v>107811</v>
      </c>
      <c r="N9" s="4"/>
      <c r="O9" s="4"/>
      <c r="P9" s="4"/>
      <c r="Q9" s="4"/>
      <c r="R9" s="4"/>
      <c r="S9" s="3"/>
      <c r="T9" s="3"/>
      <c r="U9" s="3"/>
      <c r="V9" s="3"/>
      <c r="W9" s="3"/>
      <c r="X9" s="3"/>
      <c r="Y9" s="3"/>
      <c r="Z9" s="3"/>
    </row>
    <row r="10" spans="1:26" ht="13.5" customHeight="1">
      <c r="A10" s="548" t="s">
        <v>30</v>
      </c>
      <c r="B10" s="4" t="s">
        <v>21</v>
      </c>
      <c r="C10" s="463">
        <v>233</v>
      </c>
      <c r="D10" s="463" t="s">
        <v>20</v>
      </c>
      <c r="E10" s="10">
        <v>10</v>
      </c>
      <c r="F10" s="8">
        <f t="shared" si="6"/>
        <v>250</v>
      </c>
      <c r="G10" s="8">
        <f t="shared" si="7"/>
        <v>58250</v>
      </c>
      <c r="H10" s="9">
        <f t="shared" si="8"/>
        <v>12232.5</v>
      </c>
      <c r="I10" s="8">
        <f>1.5*$B$19</f>
        <v>37.5</v>
      </c>
      <c r="J10" s="8">
        <f t="shared" si="9"/>
        <v>8737.5</v>
      </c>
      <c r="K10" s="9">
        <f t="shared" si="10"/>
        <v>1834.875</v>
      </c>
      <c r="L10" s="9">
        <f t="shared" si="11"/>
        <v>66987.5</v>
      </c>
      <c r="M10" s="8">
        <f t="shared" si="12"/>
        <v>81054.875</v>
      </c>
      <c r="N10" s="4"/>
      <c r="O10" s="4"/>
      <c r="P10" s="4"/>
      <c r="Q10" s="4"/>
      <c r="R10" s="4"/>
      <c r="S10" s="3"/>
      <c r="T10" s="3"/>
      <c r="U10" s="3"/>
      <c r="V10" s="3"/>
      <c r="W10" s="3"/>
      <c r="X10" s="3"/>
      <c r="Y10" s="3"/>
      <c r="Z10" s="3"/>
    </row>
    <row r="11" spans="1:26" ht="13.5" customHeight="1">
      <c r="A11" s="549" t="s">
        <v>31</v>
      </c>
      <c r="B11" s="4" t="s">
        <v>21</v>
      </c>
      <c r="C11" s="463">
        <v>70</v>
      </c>
      <c r="D11" s="463" t="s">
        <v>20</v>
      </c>
      <c r="E11" s="10">
        <v>23</v>
      </c>
      <c r="F11" s="8">
        <f t="shared" si="6"/>
        <v>575</v>
      </c>
      <c r="G11" s="8">
        <f t="shared" si="7"/>
        <v>40250</v>
      </c>
      <c r="H11" s="9">
        <f t="shared" si="8"/>
        <v>8452.5</v>
      </c>
      <c r="I11" s="8">
        <v>45</v>
      </c>
      <c r="J11" s="8">
        <f t="shared" si="9"/>
        <v>3150</v>
      </c>
      <c r="K11" s="9">
        <f t="shared" si="10"/>
        <v>661.5</v>
      </c>
      <c r="L11" s="9">
        <f t="shared" si="11"/>
        <v>43400</v>
      </c>
      <c r="M11" s="8">
        <f t="shared" si="12"/>
        <v>52514</v>
      </c>
      <c r="N11" s="11"/>
      <c r="O11" s="4"/>
      <c r="P11" s="4"/>
      <c r="Q11" s="4"/>
      <c r="R11" s="4"/>
      <c r="S11" s="3"/>
      <c r="T11" s="3"/>
      <c r="U11" s="3"/>
      <c r="V11" s="3"/>
      <c r="W11" s="3"/>
      <c r="X11" s="3"/>
      <c r="Y11" s="3"/>
      <c r="Z11" s="3"/>
    </row>
    <row r="12" spans="1:26" ht="13.5" customHeight="1">
      <c r="A12" s="550"/>
      <c r="B12" s="4"/>
      <c r="C12" s="463"/>
      <c r="D12" s="463" t="s">
        <v>20</v>
      </c>
      <c r="E12" s="10"/>
      <c r="F12" s="8">
        <f>E12*$B$19</f>
        <v>0</v>
      </c>
      <c r="G12" s="8">
        <f t="shared" si="0"/>
        <v>0</v>
      </c>
      <c r="H12" s="9">
        <f t="shared" si="1"/>
        <v>0</v>
      </c>
      <c r="I12" s="8"/>
      <c r="J12" s="8">
        <f t="shared" si="2"/>
        <v>0</v>
      </c>
      <c r="K12" s="9">
        <f t="shared" si="3"/>
        <v>0</v>
      </c>
      <c r="L12" s="9">
        <f t="shared" si="4"/>
        <v>0</v>
      </c>
      <c r="M12" s="8">
        <f t="shared" si="5"/>
        <v>0</v>
      </c>
      <c r="N12" s="11"/>
      <c r="O12" s="4"/>
      <c r="P12" s="4"/>
      <c r="Q12" s="4"/>
      <c r="R12" s="4"/>
      <c r="S12" s="3"/>
      <c r="T12" s="3"/>
      <c r="U12" s="3"/>
      <c r="V12" s="3"/>
      <c r="W12" s="3"/>
      <c r="X12" s="3"/>
      <c r="Y12" s="3"/>
      <c r="Z12" s="3"/>
    </row>
    <row r="13" spans="1:26" ht="13.5" customHeight="1">
      <c r="A13" s="551" t="s">
        <v>32</v>
      </c>
      <c r="B13" s="4"/>
      <c r="C13" s="5">
        <f>SUM(C2:C12)</f>
        <v>3922</v>
      </c>
      <c r="D13" s="4"/>
      <c r="E13" s="12"/>
      <c r="F13" s="4"/>
      <c r="G13" s="13">
        <f>SUM(G2:G12)</f>
        <v>1142328.75</v>
      </c>
      <c r="H13" s="4"/>
      <c r="I13" s="4"/>
      <c r="J13" s="13">
        <f>SUM(J2:J12)</f>
        <v>170803.5</v>
      </c>
      <c r="K13" s="4"/>
      <c r="L13" s="13">
        <f>(G13+J13)*12</f>
        <v>15757587</v>
      </c>
      <c r="M13" s="4"/>
      <c r="N13" s="4"/>
      <c r="O13" s="4"/>
      <c r="P13" s="4"/>
      <c r="Q13" s="4"/>
      <c r="R13" s="4"/>
      <c r="S13" s="3"/>
      <c r="T13" s="3"/>
      <c r="U13" s="3"/>
      <c r="V13" s="3"/>
      <c r="W13" s="3"/>
      <c r="X13" s="3"/>
      <c r="Y13" s="3"/>
      <c r="Z13" s="3"/>
    </row>
    <row r="14" spans="1:26" ht="13.5" customHeight="1">
      <c r="A14" s="3"/>
      <c r="B14" s="552"/>
      <c r="C14" s="3"/>
      <c r="D14" s="3"/>
      <c r="E14" s="3"/>
      <c r="F14" s="3"/>
      <c r="G14" s="14">
        <f>G13*12</f>
        <v>13707945</v>
      </c>
      <c r="H14" s="3"/>
      <c r="I14" s="3"/>
      <c r="J14" s="15">
        <f>J13*12</f>
        <v>2049642</v>
      </c>
      <c r="K14" s="3"/>
      <c r="L14" s="14">
        <f>G14+J14</f>
        <v>15757587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>
      <c r="A15" s="3" t="s">
        <v>33</v>
      </c>
      <c r="B15" s="3"/>
      <c r="C15" s="16">
        <f>C4+C5+SUM(C7:C11)</f>
        <v>1940</v>
      </c>
      <c r="D15" s="3">
        <f>C15/C13</f>
        <v>0.4946455889852116</v>
      </c>
      <c r="E15" s="18"/>
      <c r="F15" s="3"/>
      <c r="G15" s="17"/>
      <c r="H15" s="3"/>
      <c r="I15" s="3"/>
      <c r="J15" s="3"/>
      <c r="K15" s="3"/>
      <c r="L15" s="15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>
      <c r="A16" s="3" t="s">
        <v>34</v>
      </c>
      <c r="B16" s="3" t="str">
        <f>IF(C11=Businessplan_pravo_stavby!J17,"OK","ERROR")</f>
        <v>ERROR</v>
      </c>
      <c r="C16" s="3"/>
      <c r="D16" s="3"/>
      <c r="E16" s="3"/>
      <c r="F16" s="3"/>
      <c r="G16" s="461"/>
      <c r="H16" s="462"/>
      <c r="I16" s="3"/>
      <c r="J16" s="3"/>
      <c r="K16" s="3"/>
      <c r="L16" s="18"/>
      <c r="M16" s="3"/>
      <c r="N16" s="3"/>
      <c r="O16" s="19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>
      <c r="A17" s="3" t="s">
        <v>35</v>
      </c>
      <c r="B17" s="3" t="str">
        <f>IF(L13=Businessplan_pravo_stavby!N17,"OK","ERROR")</f>
        <v>ERROR</v>
      </c>
      <c r="C17" s="3"/>
      <c r="D17" s="3">
        <f>C2+C3+C4+C5+C6+C7+C8+C9+C10+C11+C12</f>
        <v>3922</v>
      </c>
      <c r="E17" s="478">
        <f>C2/C13</f>
        <v>0.3314635390107088</v>
      </c>
      <c r="F17" s="3"/>
      <c r="G17" s="461"/>
      <c r="H17" s="462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>
      <c r="A18" s="3" t="s">
        <v>36</v>
      </c>
      <c r="B18" s="20">
        <v>0.35</v>
      </c>
      <c r="C18" s="3"/>
      <c r="D18" s="3"/>
      <c r="E18" s="3"/>
      <c r="F18" s="3"/>
      <c r="G18" s="46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>
      <c r="A19" s="3" t="s">
        <v>37</v>
      </c>
      <c r="B19" s="16">
        <v>25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9"/>
      <c r="M20" s="3"/>
      <c r="N20" s="3"/>
      <c r="O20" s="19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>
      <c r="A22" s="3"/>
      <c r="B22" s="3"/>
      <c r="C22" s="3"/>
      <c r="D22" s="3"/>
      <c r="E22" s="545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>
      <c r="A23" s="3"/>
      <c r="B23" s="3"/>
      <c r="C23" s="3"/>
      <c r="D23" s="3"/>
      <c r="E23" s="545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>
      <c r="A24" s="3"/>
      <c r="B24" s="3"/>
      <c r="C24" s="3"/>
      <c r="D24" s="3"/>
      <c r="E24" s="545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>
      <c r="A25" s="3"/>
      <c r="B25" s="3"/>
      <c r="C25" s="3"/>
      <c r="D25" s="3"/>
      <c r="E25" s="545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>
      <c r="A26" s="3"/>
      <c r="B26" s="3"/>
      <c r="C26" s="3"/>
      <c r="D26" s="3"/>
      <c r="E26" s="545"/>
      <c r="F26" s="3"/>
      <c r="G26" s="3"/>
      <c r="H26" s="3"/>
      <c r="I26" s="3"/>
      <c r="J26" s="3"/>
      <c r="K26" s="3"/>
      <c r="L26" s="19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>
      <c r="A27" s="3"/>
      <c r="B27" s="3"/>
      <c r="C27" s="3"/>
      <c r="D27" s="3"/>
      <c r="E27" s="545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>
      <c r="A28" s="3"/>
      <c r="B28" s="3"/>
      <c r="C28" s="3"/>
      <c r="D28" s="3"/>
      <c r="E28" s="545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>
      <c r="A29" s="3"/>
      <c r="B29" s="3"/>
      <c r="C29" s="3"/>
      <c r="D29" s="3"/>
      <c r="E29" s="545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>
      <c r="A30" s="3"/>
      <c r="B30" s="3"/>
      <c r="C30" s="3"/>
      <c r="D30" s="3"/>
      <c r="E30" s="545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>
      <c r="A31" s="3"/>
      <c r="B31" s="3"/>
      <c r="C31" s="3"/>
      <c r="D31" s="3"/>
      <c r="E31" s="545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3.5" customHeight="1">
      <c r="I1001" s="3"/>
    </row>
  </sheetData>
  <conditionalFormatting sqref="A2:A12">
    <cfRule type="cellIs" dxfId="17" priority="5" operator="equal">
      <formula>0</formula>
    </cfRule>
  </conditionalFormatting>
  <conditionalFormatting sqref="C2:D10">
    <cfRule type="cellIs" dxfId="16" priority="3" operator="equal">
      <formula>0</formula>
    </cfRule>
  </conditionalFormatting>
  <conditionalFormatting sqref="E2:I11">
    <cfRule type="cellIs" dxfId="15" priority="1" operator="equal">
      <formula>0</formula>
    </cfRule>
  </conditionalFormatting>
  <conditionalFormatting sqref="J2:K5 L3:L12 J6:L11 E12:K12">
    <cfRule type="cellIs" dxfId="14" priority="6" operator="equal">
      <formula>0</formula>
    </cfRule>
  </conditionalFormatting>
  <dataValidations count="2">
    <dataValidation type="list" allowBlank="1" showErrorMessage="1" sqref="B12" xr:uid="{00000000-0002-0000-0000-000000000000}">
      <formula1>$W$1:$W$3</formula1>
    </dataValidation>
    <dataValidation type="list" allowBlank="1" showInputMessage="1" showErrorMessage="1" sqref="U4 B2:B11" xr:uid="{C98A095F-463C-4149-8E25-326CD784AFAD}">
      <formula1>dokonceni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3:K34"/>
  <sheetViews>
    <sheetView zoomScale="125" workbookViewId="0">
      <selection activeCell="E6" sqref="E6"/>
    </sheetView>
  </sheetViews>
  <sheetFormatPr defaultColWidth="12.625" defaultRowHeight="15" customHeight="1"/>
  <cols>
    <col min="1" max="1" width="25.125" customWidth="1"/>
    <col min="3" max="3" width="15" customWidth="1"/>
    <col min="4" max="4" width="13.375" customWidth="1"/>
    <col min="5" max="6" width="18.625" customWidth="1"/>
  </cols>
  <sheetData>
    <row r="3" spans="1:8" ht="15" customHeight="1">
      <c r="A3" s="468" t="s">
        <v>357</v>
      </c>
      <c r="B3" s="30"/>
      <c r="C3" s="30"/>
      <c r="D3" s="30"/>
      <c r="E3" s="30"/>
      <c r="F3" s="30"/>
      <c r="G3" s="30"/>
      <c r="H3" s="30"/>
    </row>
    <row r="4" spans="1:8" ht="15" customHeight="1">
      <c r="A4" s="457"/>
      <c r="B4" s="473" t="s">
        <v>358</v>
      </c>
      <c r="C4" s="471" t="s">
        <v>359</v>
      </c>
      <c r="D4" s="471" t="s">
        <v>360</v>
      </c>
      <c r="E4" s="471" t="s">
        <v>361</v>
      </c>
      <c r="F4" s="472" t="s">
        <v>362</v>
      </c>
      <c r="G4" s="472" t="s">
        <v>363</v>
      </c>
      <c r="H4" s="472" t="s">
        <v>364</v>
      </c>
    </row>
    <row r="5" spans="1:8" ht="15" customHeight="1">
      <c r="A5" s="469" t="s">
        <v>365</v>
      </c>
      <c r="B5" s="469">
        <v>2000</v>
      </c>
      <c r="C5" s="470">
        <v>750000</v>
      </c>
      <c r="D5" s="470">
        <v>0</v>
      </c>
      <c r="E5" s="470">
        <v>800000</v>
      </c>
      <c r="F5" s="470">
        <v>60000</v>
      </c>
      <c r="G5" s="470">
        <v>18000</v>
      </c>
      <c r="H5" s="470">
        <v>90000</v>
      </c>
    </row>
    <row r="6" spans="1:8" ht="15" customHeight="1">
      <c r="A6" s="469" t="s">
        <v>366</v>
      </c>
      <c r="B6" s="469">
        <v>3000</v>
      </c>
      <c r="C6" s="470">
        <v>937500</v>
      </c>
      <c r="D6" s="470">
        <v>0</v>
      </c>
      <c r="E6" s="470">
        <v>1000000</v>
      </c>
      <c r="F6" s="470">
        <v>60000</v>
      </c>
      <c r="G6" s="470">
        <v>18000</v>
      </c>
      <c r="H6" s="470">
        <v>90000</v>
      </c>
    </row>
    <row r="7" spans="1:8" ht="15" customHeight="1">
      <c r="A7" s="469" t="s">
        <v>367</v>
      </c>
      <c r="B7" s="469">
        <v>4000</v>
      </c>
      <c r="C7" s="470">
        <v>1125000</v>
      </c>
      <c r="D7" s="470">
        <v>0</v>
      </c>
      <c r="E7" s="470">
        <v>1200000</v>
      </c>
      <c r="F7" s="470">
        <v>60000</v>
      </c>
      <c r="G7" s="470">
        <v>18000</v>
      </c>
      <c r="H7" s="470">
        <v>90000</v>
      </c>
    </row>
    <row r="8" spans="1:8" ht="15" customHeight="1">
      <c r="A8" s="469" t="s">
        <v>368</v>
      </c>
      <c r="B8" s="469">
        <v>5000</v>
      </c>
      <c r="C8" s="470">
        <v>1312500</v>
      </c>
      <c r="D8" s="470">
        <v>0</v>
      </c>
      <c r="E8" s="470">
        <v>1400000</v>
      </c>
      <c r="F8" s="470">
        <v>60000</v>
      </c>
      <c r="G8" s="470">
        <v>18000</v>
      </c>
      <c r="H8" s="470">
        <v>90000</v>
      </c>
    </row>
    <row r="15" spans="1:8" ht="15" hidden="1" customHeight="1"/>
    <row r="16" spans="1:8" ht="15" hidden="1" customHeight="1"/>
    <row r="17" spans="1:11" ht="15" hidden="1" customHeight="1"/>
    <row r="18" spans="1:11" ht="15" hidden="1" customHeight="1"/>
    <row r="19" spans="1:11" ht="15" hidden="1" customHeight="1"/>
    <row r="20" spans="1:11" ht="15" hidden="1" customHeight="1"/>
    <row r="21" spans="1:11" ht="14.1" hidden="1">
      <c r="A21" s="357" t="s">
        <v>369</v>
      </c>
    </row>
    <row r="22" spans="1:11" ht="57" hidden="1" customHeight="1">
      <c r="A22" s="358"/>
      <c r="B22" s="359" t="s">
        <v>358</v>
      </c>
      <c r="C22" s="359" t="s">
        <v>370</v>
      </c>
      <c r="D22" s="359" t="s">
        <v>371</v>
      </c>
      <c r="E22" s="359" t="s">
        <v>372</v>
      </c>
      <c r="F22" s="359" t="s">
        <v>373</v>
      </c>
      <c r="G22" s="359" t="s">
        <v>134</v>
      </c>
      <c r="H22" s="359" t="s">
        <v>374</v>
      </c>
      <c r="I22" s="359" t="s">
        <v>375</v>
      </c>
    </row>
    <row r="23" spans="1:11" hidden="1">
      <c r="A23" s="360" t="s">
        <v>376</v>
      </c>
      <c r="B23" s="528">
        <v>500</v>
      </c>
      <c r="C23" s="528">
        <v>54000</v>
      </c>
      <c r="D23" s="528">
        <v>500000</v>
      </c>
      <c r="E23" s="528">
        <v>135000</v>
      </c>
      <c r="F23" s="528">
        <v>180000</v>
      </c>
      <c r="G23" s="528">
        <v>225000</v>
      </c>
      <c r="H23" s="528">
        <v>22700</v>
      </c>
      <c r="I23" s="528">
        <v>18960</v>
      </c>
    </row>
    <row r="24" spans="1:11" hidden="1">
      <c r="A24" s="360" t="s">
        <v>377</v>
      </c>
      <c r="B24" s="528">
        <v>1000</v>
      </c>
      <c r="C24" s="528">
        <v>54000</v>
      </c>
      <c r="D24" s="528">
        <v>750000</v>
      </c>
      <c r="E24" s="528">
        <v>145000</v>
      </c>
      <c r="F24" s="528">
        <v>180000</v>
      </c>
      <c r="G24" s="528">
        <v>245000</v>
      </c>
      <c r="H24" s="528">
        <v>22700</v>
      </c>
      <c r="I24" s="528">
        <v>18960</v>
      </c>
    </row>
    <row r="25" spans="1:11" hidden="1">
      <c r="A25" s="360" t="s">
        <v>365</v>
      </c>
      <c r="B25" s="528">
        <v>2000</v>
      </c>
      <c r="C25" s="528">
        <v>54000</v>
      </c>
      <c r="D25" s="528">
        <v>1550000</v>
      </c>
      <c r="E25" s="528">
        <v>155000</v>
      </c>
      <c r="F25" s="528">
        <v>195000</v>
      </c>
      <c r="G25" s="528">
        <v>245000</v>
      </c>
      <c r="H25" s="528">
        <v>27200</v>
      </c>
      <c r="I25" s="528">
        <v>18960</v>
      </c>
    </row>
    <row r="26" spans="1:11" hidden="1">
      <c r="A26" s="360" t="s">
        <v>378</v>
      </c>
      <c r="B26" s="528">
        <v>4000</v>
      </c>
      <c r="C26" s="528">
        <v>54000</v>
      </c>
      <c r="D26" s="528">
        <v>1750000</v>
      </c>
      <c r="E26" s="528">
        <v>175000</v>
      </c>
      <c r="F26" s="528">
        <v>195000</v>
      </c>
      <c r="G26" s="528">
        <v>295000</v>
      </c>
      <c r="H26" s="528">
        <v>27000</v>
      </c>
      <c r="I26" s="528">
        <v>18960</v>
      </c>
    </row>
    <row r="27" spans="1:11" hidden="1">
      <c r="A27" s="360" t="s">
        <v>379</v>
      </c>
      <c r="B27" s="528">
        <v>6000</v>
      </c>
      <c r="C27" s="528">
        <v>54000</v>
      </c>
      <c r="D27" s="528">
        <v>1850000</v>
      </c>
      <c r="E27" s="528">
        <v>185000</v>
      </c>
      <c r="F27" s="528">
        <v>195000</v>
      </c>
      <c r="G27" s="528">
        <v>295000</v>
      </c>
      <c r="H27" s="528">
        <v>27000</v>
      </c>
      <c r="I27" s="528">
        <v>22700</v>
      </c>
    </row>
    <row r="28" spans="1:11" hidden="1">
      <c r="A28" s="360" t="s">
        <v>380</v>
      </c>
      <c r="B28" s="528"/>
      <c r="C28" s="528">
        <v>54000</v>
      </c>
      <c r="D28" s="528">
        <v>2050000</v>
      </c>
      <c r="E28" s="528">
        <v>205000</v>
      </c>
      <c r="F28" s="528">
        <v>195000</v>
      </c>
      <c r="G28" s="528">
        <v>350000</v>
      </c>
      <c r="H28" s="528">
        <v>35000</v>
      </c>
      <c r="I28" s="528">
        <v>29500</v>
      </c>
    </row>
    <row r="29" spans="1:11" ht="15" hidden="1" customHeight="1"/>
    <row r="30" spans="1:11" ht="14.1" hidden="1">
      <c r="A30" s="614"/>
      <c r="B30" s="594"/>
      <c r="C30" s="594"/>
      <c r="D30" s="594"/>
      <c r="E30" s="594"/>
      <c r="F30" s="594"/>
      <c r="G30" s="594"/>
      <c r="H30" s="594"/>
      <c r="I30" s="594"/>
      <c r="J30" s="594"/>
      <c r="K30" s="594"/>
    </row>
    <row r="31" spans="1:11" ht="15" hidden="1" customHeight="1"/>
    <row r="32" spans="1:11" ht="14.1" hidden="1">
      <c r="C32" s="30">
        <f>C26+D26/2+E26*9+F26+G26+H26*9+I26+10</f>
        <v>3255970</v>
      </c>
    </row>
    <row r="33" ht="15" hidden="1" customHeight="1"/>
    <row r="34" ht="15" hidden="1" customHeight="1"/>
  </sheetData>
  <mergeCells count="1">
    <mergeCell ref="A30:K3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3:G7"/>
  <sheetViews>
    <sheetView zoomScale="274" workbookViewId="0">
      <selection activeCell="G5" sqref="G5"/>
    </sheetView>
  </sheetViews>
  <sheetFormatPr defaultColWidth="12.625" defaultRowHeight="15" customHeight="1"/>
  <cols>
    <col min="4" max="4" width="18.125" customWidth="1"/>
    <col min="5" max="5" width="15.125" bestFit="1" customWidth="1"/>
  </cols>
  <sheetData>
    <row r="3" spans="2:7" ht="15" customHeight="1">
      <c r="B3" s="457" t="s">
        <v>381</v>
      </c>
      <c r="C3" s="457" t="s">
        <v>382</v>
      </c>
      <c r="D3" s="458">
        <v>21090000</v>
      </c>
    </row>
    <row r="4" spans="2:7" ht="15" customHeight="1">
      <c r="B4" s="457" t="s">
        <v>383</v>
      </c>
      <c r="C4" s="459"/>
      <c r="D4" s="458">
        <v>3370000</v>
      </c>
    </row>
    <row r="5" spans="2:7" ht="15" customHeight="1">
      <c r="B5" s="457" t="s">
        <v>384</v>
      </c>
      <c r="C5" s="459"/>
      <c r="D5" s="458">
        <v>11747457</v>
      </c>
      <c r="E5" s="544">
        <v>13500000</v>
      </c>
      <c r="G5" s="544">
        <f>E5-D5</f>
        <v>1752543</v>
      </c>
    </row>
    <row r="6" spans="2:7" ht="15" customHeight="1">
      <c r="B6" s="457" t="s">
        <v>385</v>
      </c>
      <c r="C6" s="459"/>
      <c r="D6" s="458">
        <v>1900000</v>
      </c>
    </row>
    <row r="7" spans="2:7" ht="15" customHeight="1">
      <c r="D7" s="456">
        <f>SUM(D3:D6)</f>
        <v>38107457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N75"/>
  <sheetViews>
    <sheetView workbookViewId="0"/>
  </sheetViews>
  <sheetFormatPr defaultColWidth="12.625" defaultRowHeight="15" customHeight="1"/>
  <cols>
    <col min="5" max="8" width="21.625" customWidth="1"/>
    <col min="9" max="9" width="23.375" customWidth="1"/>
    <col min="10" max="13" width="21.625" customWidth="1"/>
  </cols>
  <sheetData>
    <row r="1" spans="1:14">
      <c r="A1" s="199"/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>
      <c r="A2" s="199"/>
      <c r="B2" s="199"/>
      <c r="C2" s="590" t="s">
        <v>386</v>
      </c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</row>
    <row r="3" spans="1:14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</row>
    <row r="4" spans="1:14">
      <c r="A4" s="199"/>
      <c r="B4" s="199"/>
      <c r="C4" s="199"/>
      <c r="D4" s="361" t="s">
        <v>387</v>
      </c>
      <c r="E4" s="362" t="s">
        <v>388</v>
      </c>
      <c r="F4" s="362" t="s">
        <v>389</v>
      </c>
      <c r="G4" s="362" t="s">
        <v>390</v>
      </c>
      <c r="H4" s="362" t="s">
        <v>391</v>
      </c>
      <c r="I4" s="362" t="s">
        <v>392</v>
      </c>
      <c r="J4" s="362" t="s">
        <v>393</v>
      </c>
      <c r="K4" s="363" t="s">
        <v>394</v>
      </c>
      <c r="L4" s="364" t="s">
        <v>395</v>
      </c>
      <c r="M4" s="362" t="s">
        <v>396</v>
      </c>
      <c r="N4" s="199"/>
    </row>
    <row r="5" spans="1:14">
      <c r="A5" s="199"/>
      <c r="B5" s="199"/>
      <c r="C5" s="365" t="s">
        <v>397</v>
      </c>
      <c r="D5" s="529" t="s">
        <v>398</v>
      </c>
      <c r="E5" s="529" t="s">
        <v>399</v>
      </c>
      <c r="F5" s="366" t="s">
        <v>399</v>
      </c>
      <c r="G5" s="367" t="s">
        <v>399</v>
      </c>
      <c r="H5" s="368" t="s">
        <v>399</v>
      </c>
      <c r="I5" s="367" t="s">
        <v>399</v>
      </c>
      <c r="J5" s="530">
        <f>SUM(J6:J16)</f>
        <v>27766243.190000001</v>
      </c>
      <c r="K5" s="366" t="s">
        <v>399</v>
      </c>
      <c r="L5" s="367" t="s">
        <v>399</v>
      </c>
      <c r="M5" s="529" t="s">
        <v>399</v>
      </c>
      <c r="N5" s="199"/>
    </row>
    <row r="6" spans="1:14">
      <c r="A6" s="199"/>
      <c r="B6" s="199"/>
      <c r="C6" s="369">
        <v>1</v>
      </c>
      <c r="D6" s="531" t="s">
        <v>400</v>
      </c>
      <c r="E6" s="530">
        <f t="shared" ref="E6:I6" si="0">SUM(E7:E17)</f>
        <v>31451782</v>
      </c>
      <c r="F6" s="530">
        <f t="shared" si="0"/>
        <v>32896913</v>
      </c>
      <c r="G6" s="530">
        <f t="shared" si="0"/>
        <v>25376251</v>
      </c>
      <c r="H6" s="530">
        <f t="shared" si="0"/>
        <v>29615528</v>
      </c>
      <c r="I6" s="530">
        <f t="shared" si="0"/>
        <v>30929106</v>
      </c>
      <c r="J6" s="532">
        <v>1054651.25</v>
      </c>
      <c r="K6" s="530">
        <f t="shared" ref="K6:M6" si="1">SUM(K7:K17)</f>
        <v>32518828</v>
      </c>
      <c r="L6" s="530">
        <f t="shared" si="1"/>
        <v>30330943</v>
      </c>
      <c r="M6" s="530">
        <f t="shared" si="1"/>
        <v>33596581</v>
      </c>
      <c r="N6" s="199"/>
    </row>
    <row r="7" spans="1:14">
      <c r="A7" s="199"/>
      <c r="B7" s="199"/>
      <c r="C7" s="370">
        <v>45658</v>
      </c>
      <c r="D7" s="533" t="s">
        <v>401</v>
      </c>
      <c r="E7" s="534">
        <v>904320</v>
      </c>
      <c r="F7" s="371">
        <v>1413229</v>
      </c>
      <c r="G7" s="372">
        <v>1856832</v>
      </c>
      <c r="H7" s="373">
        <v>654251</v>
      </c>
      <c r="I7" s="374">
        <v>2806335</v>
      </c>
      <c r="J7" s="532">
        <v>5282789.93</v>
      </c>
      <c r="K7" s="375">
        <v>350000</v>
      </c>
      <c r="L7" s="374">
        <v>438057</v>
      </c>
      <c r="M7" s="376" t="s">
        <v>402</v>
      </c>
      <c r="N7" s="199"/>
    </row>
    <row r="8" spans="1:14">
      <c r="A8" s="199"/>
      <c r="B8" s="199"/>
      <c r="C8" s="370">
        <v>45689</v>
      </c>
      <c r="D8" s="533" t="s">
        <v>403</v>
      </c>
      <c r="E8" s="534">
        <v>10710000</v>
      </c>
      <c r="F8" s="371">
        <v>9556826</v>
      </c>
      <c r="G8" s="372">
        <v>7107794</v>
      </c>
      <c r="H8" s="372">
        <v>9163962</v>
      </c>
      <c r="I8" s="374">
        <v>8392773</v>
      </c>
      <c r="J8" s="532">
        <v>9449580.4399999995</v>
      </c>
      <c r="K8" s="375">
        <v>8200000</v>
      </c>
      <c r="L8" s="374">
        <v>11247115</v>
      </c>
      <c r="M8" s="371">
        <v>11913597</v>
      </c>
      <c r="N8" s="199"/>
    </row>
    <row r="9" spans="1:14">
      <c r="A9" s="199"/>
      <c r="B9" s="199"/>
      <c r="C9" s="370">
        <v>45717</v>
      </c>
      <c r="D9" s="533" t="s">
        <v>404</v>
      </c>
      <c r="E9" s="534">
        <v>11061022</v>
      </c>
      <c r="F9" s="371">
        <v>9337003</v>
      </c>
      <c r="G9" s="372">
        <v>9285556</v>
      </c>
      <c r="H9" s="372">
        <v>8406921</v>
      </c>
      <c r="I9" s="374">
        <v>8814250</v>
      </c>
      <c r="J9" s="532">
        <v>1065202.8600000001</v>
      </c>
      <c r="K9" s="375">
        <v>10500000</v>
      </c>
      <c r="L9" s="374">
        <v>9803354</v>
      </c>
      <c r="M9" s="371">
        <v>9659688</v>
      </c>
      <c r="N9" s="199"/>
    </row>
    <row r="10" spans="1:14">
      <c r="A10" s="199"/>
      <c r="B10" s="199"/>
      <c r="C10" s="370">
        <v>45748</v>
      </c>
      <c r="D10" s="533" t="s">
        <v>405</v>
      </c>
      <c r="E10" s="534">
        <v>924120</v>
      </c>
      <c r="F10" s="371">
        <v>1314533</v>
      </c>
      <c r="G10" s="372">
        <v>1626906</v>
      </c>
      <c r="H10" s="372">
        <v>1974100</v>
      </c>
      <c r="I10" s="374">
        <v>1198530</v>
      </c>
      <c r="J10" s="532">
        <v>5150078.26</v>
      </c>
      <c r="K10" s="375">
        <v>2243460</v>
      </c>
      <c r="L10" s="374">
        <v>1368163</v>
      </c>
      <c r="M10" s="371">
        <v>2068720</v>
      </c>
      <c r="N10" s="199"/>
    </row>
    <row r="11" spans="1:14">
      <c r="A11" s="199"/>
      <c r="B11" s="199"/>
      <c r="C11" s="370">
        <v>45778</v>
      </c>
      <c r="D11" s="533" t="s">
        <v>406</v>
      </c>
      <c r="E11" s="534">
        <v>3924000</v>
      </c>
      <c r="F11" s="371">
        <v>6303383</v>
      </c>
      <c r="G11" s="372">
        <v>2903837</v>
      </c>
      <c r="H11" s="372">
        <v>3907238</v>
      </c>
      <c r="I11" s="374">
        <v>4503975</v>
      </c>
      <c r="J11" s="532">
        <v>805143.93</v>
      </c>
      <c r="K11" s="375">
        <v>5227301</v>
      </c>
      <c r="L11" s="374">
        <v>5021529</v>
      </c>
      <c r="M11" s="371">
        <v>5326745</v>
      </c>
      <c r="N11" s="199"/>
    </row>
    <row r="12" spans="1:14">
      <c r="A12" s="199"/>
      <c r="B12" s="199"/>
      <c r="C12" s="370">
        <v>45809</v>
      </c>
      <c r="D12" s="533" t="s">
        <v>407</v>
      </c>
      <c r="E12" s="534">
        <v>695700</v>
      </c>
      <c r="F12" s="371">
        <v>1186332</v>
      </c>
      <c r="G12" s="372">
        <v>528353</v>
      </c>
      <c r="H12" s="372">
        <v>1023000</v>
      </c>
      <c r="I12" s="374">
        <v>1173460</v>
      </c>
      <c r="J12" s="532">
        <v>86410.68</v>
      </c>
      <c r="K12" s="375">
        <v>919367</v>
      </c>
      <c r="L12" s="374">
        <v>1183675</v>
      </c>
      <c r="M12" s="371">
        <v>1223660</v>
      </c>
      <c r="N12" s="199"/>
    </row>
    <row r="13" spans="1:14">
      <c r="A13" s="199"/>
      <c r="B13" s="199"/>
      <c r="C13" s="370">
        <v>45839</v>
      </c>
      <c r="D13" s="533" t="s">
        <v>408</v>
      </c>
      <c r="E13" s="534">
        <v>288000</v>
      </c>
      <c r="F13" s="371">
        <v>53521</v>
      </c>
      <c r="G13" s="377"/>
      <c r="H13" s="372">
        <v>200000</v>
      </c>
      <c r="I13" s="374">
        <v>161000</v>
      </c>
      <c r="J13" s="532">
        <v>3346439.63</v>
      </c>
      <c r="K13" s="375">
        <v>550000</v>
      </c>
      <c r="L13" s="374">
        <v>100000</v>
      </c>
      <c r="M13" s="371">
        <v>98700</v>
      </c>
      <c r="N13" s="199"/>
    </row>
    <row r="14" spans="1:14">
      <c r="A14" s="199"/>
      <c r="B14" s="199"/>
      <c r="C14" s="370">
        <v>45870</v>
      </c>
      <c r="D14" s="533" t="s">
        <v>409</v>
      </c>
      <c r="E14" s="534">
        <v>1657620</v>
      </c>
      <c r="F14" s="371">
        <v>2277780</v>
      </c>
      <c r="G14" s="372">
        <v>1251991</v>
      </c>
      <c r="H14" s="372">
        <v>2640000</v>
      </c>
      <c r="I14" s="374">
        <v>2258028</v>
      </c>
      <c r="J14" s="532">
        <v>0</v>
      </c>
      <c r="K14" s="375">
        <v>2680000</v>
      </c>
      <c r="L14" s="378" t="s">
        <v>410</v>
      </c>
      <c r="M14" s="371">
        <v>1875809</v>
      </c>
      <c r="N14" s="199"/>
    </row>
    <row r="15" spans="1:14">
      <c r="A15" s="199"/>
      <c r="B15" s="199"/>
      <c r="C15" s="370">
        <v>45901</v>
      </c>
      <c r="D15" s="533" t="s">
        <v>411</v>
      </c>
      <c r="E15" s="534">
        <v>315000</v>
      </c>
      <c r="F15" s="371">
        <v>0</v>
      </c>
      <c r="G15" s="372">
        <v>154853</v>
      </c>
      <c r="H15" s="372">
        <v>256000</v>
      </c>
      <c r="I15" s="374">
        <v>60450</v>
      </c>
      <c r="J15" s="532">
        <v>1201639.71</v>
      </c>
      <c r="K15" s="375">
        <v>270000</v>
      </c>
      <c r="L15" s="374">
        <v>121250</v>
      </c>
      <c r="M15" s="371">
        <v>200502</v>
      </c>
      <c r="N15" s="199"/>
    </row>
    <row r="16" spans="1:14">
      <c r="A16" s="199"/>
      <c r="B16" s="199"/>
      <c r="C16" s="370">
        <v>45931</v>
      </c>
      <c r="D16" s="533" t="s">
        <v>412</v>
      </c>
      <c r="E16" s="534">
        <v>900000</v>
      </c>
      <c r="F16" s="371">
        <v>650000</v>
      </c>
      <c r="G16" s="372">
        <v>531962</v>
      </c>
      <c r="H16" s="372">
        <v>1078000</v>
      </c>
      <c r="I16" s="374">
        <v>976602</v>
      </c>
      <c r="J16" s="532">
        <v>324306.5</v>
      </c>
      <c r="K16" s="375">
        <v>1150000</v>
      </c>
      <c r="L16" s="374">
        <v>343800</v>
      </c>
      <c r="M16" s="371">
        <v>715000</v>
      </c>
      <c r="N16" s="199"/>
    </row>
    <row r="17" spans="1:14">
      <c r="A17" s="199"/>
      <c r="B17" s="199"/>
      <c r="C17" s="370">
        <v>45962</v>
      </c>
      <c r="D17" s="533" t="s">
        <v>413</v>
      </c>
      <c r="E17" s="534">
        <v>72000</v>
      </c>
      <c r="F17" s="371">
        <v>804306</v>
      </c>
      <c r="G17" s="372">
        <v>128167</v>
      </c>
      <c r="H17" s="372">
        <v>312056</v>
      </c>
      <c r="I17" s="374">
        <v>583703</v>
      </c>
      <c r="J17" s="535">
        <f>J18</f>
        <v>88119512.930000007</v>
      </c>
      <c r="K17" s="375">
        <v>428700</v>
      </c>
      <c r="L17" s="374">
        <v>704000</v>
      </c>
      <c r="M17" s="371">
        <v>514160</v>
      </c>
      <c r="N17" s="199"/>
    </row>
    <row r="18" spans="1:14">
      <c r="A18" s="199"/>
      <c r="B18" s="199"/>
      <c r="C18" s="370">
        <v>45992</v>
      </c>
      <c r="D18" s="533" t="s">
        <v>414</v>
      </c>
      <c r="E18" s="534">
        <v>180000</v>
      </c>
      <c r="F18" s="199"/>
      <c r="G18" s="247"/>
      <c r="H18" s="247"/>
      <c r="I18" s="244"/>
      <c r="J18" s="532">
        <v>88119512.930000007</v>
      </c>
      <c r="K18" s="199"/>
      <c r="L18" s="244"/>
      <c r="M18" s="199"/>
      <c r="N18" s="199"/>
    </row>
    <row r="19" spans="1:14">
      <c r="A19" s="199"/>
      <c r="B19" s="199"/>
      <c r="C19" s="379" t="s">
        <v>415</v>
      </c>
      <c r="D19" s="533" t="s">
        <v>416</v>
      </c>
      <c r="E19" s="534">
        <v>585000</v>
      </c>
      <c r="F19" s="380">
        <f t="shared" ref="F19:I19" si="2">SUM(F20:F35)</f>
        <v>58895042</v>
      </c>
      <c r="G19" s="380">
        <f t="shared" si="2"/>
        <v>70923982</v>
      </c>
      <c r="H19" s="380">
        <f t="shared" si="2"/>
        <v>53730691</v>
      </c>
      <c r="I19" s="380">
        <f t="shared" si="2"/>
        <v>53358628</v>
      </c>
      <c r="J19" s="535">
        <f>J20+J21</f>
        <v>390160</v>
      </c>
      <c r="K19" s="380">
        <f>SUM(K20:K37)</f>
        <v>51265210</v>
      </c>
      <c r="L19" s="381">
        <v>71058262</v>
      </c>
      <c r="M19" s="380">
        <f>SUM(M20:M35)</f>
        <v>50127623</v>
      </c>
      <c r="N19" s="199"/>
    </row>
    <row r="20" spans="1:14">
      <c r="A20" s="199"/>
      <c r="B20" s="199"/>
      <c r="C20" s="244"/>
      <c r="D20" s="533"/>
      <c r="E20" s="533"/>
      <c r="F20" s="371">
        <v>5612753</v>
      </c>
      <c r="G20" s="372">
        <v>9435520</v>
      </c>
      <c r="H20" s="372">
        <v>4744832</v>
      </c>
      <c r="I20" s="374">
        <v>5036941</v>
      </c>
      <c r="J20" s="532">
        <v>0</v>
      </c>
      <c r="K20" s="371">
        <v>4765110</v>
      </c>
      <c r="L20" s="374">
        <v>3372300</v>
      </c>
      <c r="M20" s="371">
        <v>4057561</v>
      </c>
      <c r="N20" s="199"/>
    </row>
    <row r="21" spans="1:14">
      <c r="A21" s="199"/>
      <c r="B21" s="199"/>
      <c r="C21" s="369">
        <v>2</v>
      </c>
      <c r="D21" s="531" t="s">
        <v>417</v>
      </c>
      <c r="E21" s="530">
        <f>SUM(E22:E37)</f>
        <v>57679340</v>
      </c>
      <c r="F21" s="371">
        <v>12535000</v>
      </c>
      <c r="G21" s="372">
        <v>15498394</v>
      </c>
      <c r="H21" s="372">
        <v>10050000</v>
      </c>
      <c r="I21" s="374">
        <v>10082033</v>
      </c>
      <c r="J21" s="532">
        <v>390160</v>
      </c>
      <c r="K21" s="371">
        <v>10189066</v>
      </c>
      <c r="L21" s="374">
        <v>9779000</v>
      </c>
      <c r="M21" s="371">
        <v>8883000</v>
      </c>
      <c r="N21" s="199"/>
    </row>
    <row r="22" spans="1:14">
      <c r="A22" s="199"/>
      <c r="B22" s="199"/>
      <c r="C22" s="370">
        <v>45659</v>
      </c>
      <c r="D22" s="533" t="s">
        <v>418</v>
      </c>
      <c r="E22" s="534">
        <v>4279680</v>
      </c>
      <c r="F22" s="371">
        <v>6482087</v>
      </c>
      <c r="G22" s="372">
        <v>1553776</v>
      </c>
      <c r="H22" s="372">
        <v>3253860</v>
      </c>
      <c r="I22" s="374">
        <v>2665314</v>
      </c>
      <c r="J22" s="535">
        <f>SUM(J23:J31)</f>
        <v>2724083.88</v>
      </c>
      <c r="K22" s="371">
        <v>4208144</v>
      </c>
      <c r="L22" s="374">
        <v>5421316</v>
      </c>
      <c r="M22" s="371">
        <v>3117139</v>
      </c>
      <c r="N22" s="199"/>
    </row>
    <row r="23" spans="1:14">
      <c r="A23" s="199"/>
      <c r="B23" s="199"/>
      <c r="C23" s="370">
        <v>45690</v>
      </c>
      <c r="D23" s="533" t="s">
        <v>419</v>
      </c>
      <c r="E23" s="534">
        <v>9900000</v>
      </c>
      <c r="F23" s="371">
        <v>5665476</v>
      </c>
      <c r="G23" s="372">
        <v>6052782</v>
      </c>
      <c r="H23" s="372">
        <v>3901950</v>
      </c>
      <c r="I23" s="374">
        <v>5017632</v>
      </c>
      <c r="J23" s="532">
        <v>985000</v>
      </c>
      <c r="K23" s="371">
        <v>3431538</v>
      </c>
      <c r="L23" s="374">
        <v>4928819</v>
      </c>
      <c r="M23" s="371">
        <v>4992879</v>
      </c>
      <c r="N23" s="199"/>
    </row>
    <row r="24" spans="1:14">
      <c r="A24" s="199"/>
      <c r="B24" s="199"/>
      <c r="C24" s="370">
        <v>45718</v>
      </c>
      <c r="D24" s="533" t="s">
        <v>420</v>
      </c>
      <c r="E24" s="534">
        <v>3057890</v>
      </c>
      <c r="F24" s="371">
        <v>8949229</v>
      </c>
      <c r="G24" s="372">
        <v>7180427</v>
      </c>
      <c r="H24" s="372">
        <v>6221691</v>
      </c>
      <c r="I24" s="374">
        <v>8660036</v>
      </c>
      <c r="J24" s="532">
        <v>100000</v>
      </c>
      <c r="K24" s="371">
        <v>10134714</v>
      </c>
      <c r="L24" s="374">
        <v>9196139</v>
      </c>
      <c r="M24" s="371">
        <v>5267315</v>
      </c>
      <c r="N24" s="199"/>
    </row>
    <row r="25" spans="1:14">
      <c r="A25" s="199"/>
      <c r="B25" s="199"/>
      <c r="C25" s="370">
        <v>45749</v>
      </c>
      <c r="D25" s="533" t="s">
        <v>421</v>
      </c>
      <c r="E25" s="534">
        <v>3090420</v>
      </c>
      <c r="F25" s="371">
        <v>7197068</v>
      </c>
      <c r="G25" s="372">
        <v>6501593</v>
      </c>
      <c r="H25" s="372">
        <v>5734392</v>
      </c>
      <c r="I25" s="374">
        <v>5827389</v>
      </c>
      <c r="J25" s="532">
        <v>80000</v>
      </c>
      <c r="K25" s="375">
        <v>4081669</v>
      </c>
      <c r="L25" s="374">
        <v>5502132</v>
      </c>
      <c r="M25" s="371">
        <v>5705602</v>
      </c>
      <c r="N25" s="199"/>
    </row>
    <row r="26" spans="1:14">
      <c r="A26" s="199"/>
      <c r="B26" s="199"/>
      <c r="C26" s="370">
        <v>45779</v>
      </c>
      <c r="D26" s="533" t="s">
        <v>422</v>
      </c>
      <c r="E26" s="534">
        <v>7927425</v>
      </c>
      <c r="F26" s="371">
        <v>2183240</v>
      </c>
      <c r="G26" s="372">
        <v>4799108</v>
      </c>
      <c r="H26" s="372">
        <v>2545112</v>
      </c>
      <c r="I26" s="374">
        <v>3778278</v>
      </c>
      <c r="J26" s="532">
        <v>24000</v>
      </c>
      <c r="K26" s="375">
        <v>1917600</v>
      </c>
      <c r="L26" s="374">
        <v>4962450</v>
      </c>
      <c r="M26" s="371">
        <v>4021456</v>
      </c>
      <c r="N26" s="199"/>
    </row>
    <row r="27" spans="1:14">
      <c r="A27" s="199"/>
      <c r="B27" s="199"/>
      <c r="C27" s="370">
        <v>45810</v>
      </c>
      <c r="D27" s="533" t="s">
        <v>423</v>
      </c>
      <c r="E27" s="534">
        <v>7229250</v>
      </c>
      <c r="F27" s="371">
        <v>5558640</v>
      </c>
      <c r="G27" s="372">
        <v>7019791</v>
      </c>
      <c r="H27" s="372">
        <v>5703913</v>
      </c>
      <c r="I27" s="374">
        <v>6009549</v>
      </c>
      <c r="J27" s="532">
        <v>2500</v>
      </c>
      <c r="K27" s="375">
        <v>4315587</v>
      </c>
      <c r="L27" s="374">
        <v>6108793</v>
      </c>
      <c r="M27" s="371">
        <v>4760190</v>
      </c>
      <c r="N27" s="199"/>
    </row>
    <row r="28" spans="1:14">
      <c r="A28" s="199"/>
      <c r="B28" s="199"/>
      <c r="C28" s="370">
        <v>45840</v>
      </c>
      <c r="D28" s="533" t="s">
        <v>424</v>
      </c>
      <c r="E28" s="534">
        <v>4680360</v>
      </c>
      <c r="F28" s="371">
        <v>622265</v>
      </c>
      <c r="G28" s="372">
        <v>342792</v>
      </c>
      <c r="H28" s="372">
        <v>956966</v>
      </c>
      <c r="I28" s="374">
        <v>1379750</v>
      </c>
      <c r="J28" s="532">
        <v>136342.6</v>
      </c>
      <c r="K28" s="371">
        <v>580000</v>
      </c>
      <c r="L28" s="374">
        <v>1081188</v>
      </c>
      <c r="M28" s="371">
        <v>517032</v>
      </c>
      <c r="N28" s="199"/>
    </row>
    <row r="29" spans="1:14">
      <c r="A29" s="199"/>
      <c r="B29" s="199"/>
      <c r="C29" s="370">
        <v>45871</v>
      </c>
      <c r="D29" s="533" t="s">
        <v>425</v>
      </c>
      <c r="E29" s="534">
        <v>6467400</v>
      </c>
      <c r="F29" s="371">
        <v>1627446</v>
      </c>
      <c r="G29" s="372">
        <v>1166084</v>
      </c>
      <c r="H29" s="372">
        <v>1005335</v>
      </c>
      <c r="I29" s="374">
        <v>2937943</v>
      </c>
      <c r="J29" s="532">
        <v>113322.96</v>
      </c>
      <c r="K29" s="371">
        <v>1439004</v>
      </c>
      <c r="L29" s="374">
        <v>1808076</v>
      </c>
      <c r="M29" s="371">
        <v>1349489</v>
      </c>
      <c r="N29" s="199"/>
    </row>
    <row r="30" spans="1:14">
      <c r="A30" s="199"/>
      <c r="B30" s="199"/>
      <c r="C30" s="370">
        <v>45902</v>
      </c>
      <c r="D30" s="533" t="s">
        <v>426</v>
      </c>
      <c r="E30" s="534">
        <v>363375</v>
      </c>
      <c r="F30" s="223"/>
      <c r="G30" s="372">
        <v>774595</v>
      </c>
      <c r="H30" s="372">
        <v>25000</v>
      </c>
      <c r="I30" s="374">
        <v>0</v>
      </c>
      <c r="J30" s="532">
        <v>1282918.32</v>
      </c>
      <c r="K30" s="371">
        <v>0</v>
      </c>
      <c r="L30" s="378" t="s">
        <v>427</v>
      </c>
      <c r="M30" s="371">
        <v>0</v>
      </c>
      <c r="N30" s="199"/>
    </row>
    <row r="31" spans="1:14">
      <c r="A31" s="199"/>
      <c r="B31" s="199"/>
      <c r="C31" s="370">
        <v>45932</v>
      </c>
      <c r="D31" s="533" t="s">
        <v>428</v>
      </c>
      <c r="E31" s="534">
        <v>972000</v>
      </c>
      <c r="F31" s="371">
        <v>279220</v>
      </c>
      <c r="G31" s="372">
        <v>6650496</v>
      </c>
      <c r="H31" s="372">
        <v>125000</v>
      </c>
      <c r="I31" s="374">
        <v>0</v>
      </c>
      <c r="J31" s="532">
        <v>0</v>
      </c>
      <c r="K31" s="371">
        <v>0</v>
      </c>
      <c r="L31" s="374">
        <v>7655000</v>
      </c>
      <c r="M31" s="371">
        <v>180972</v>
      </c>
      <c r="N31" s="199"/>
    </row>
    <row r="32" spans="1:14">
      <c r="A32" s="199"/>
      <c r="B32" s="199"/>
      <c r="C32" s="370">
        <v>45963</v>
      </c>
      <c r="D32" s="533" t="s">
        <v>429</v>
      </c>
      <c r="E32" s="534">
        <v>1944000</v>
      </c>
      <c r="F32" s="371">
        <v>1576864</v>
      </c>
      <c r="G32" s="372">
        <v>3341424</v>
      </c>
      <c r="H32" s="372">
        <v>1452640</v>
      </c>
      <c r="I32" s="374">
        <v>1577555</v>
      </c>
      <c r="J32" s="382"/>
      <c r="K32" s="371">
        <v>4200000</v>
      </c>
      <c r="L32" s="374">
        <v>10743050</v>
      </c>
      <c r="M32" s="371">
        <v>1303025</v>
      </c>
      <c r="N32" s="199"/>
    </row>
    <row r="33" spans="1:14">
      <c r="A33" s="199"/>
      <c r="B33" s="199"/>
      <c r="C33" s="370">
        <v>45993</v>
      </c>
      <c r="D33" s="533" t="s">
        <v>430</v>
      </c>
      <c r="E33" s="534">
        <v>4248540</v>
      </c>
      <c r="F33" s="371">
        <v>152194</v>
      </c>
      <c r="G33" s="377"/>
      <c r="H33" s="372">
        <v>350000</v>
      </c>
      <c r="I33" s="374">
        <v>140395</v>
      </c>
      <c r="J33" s="199"/>
      <c r="K33" s="371">
        <v>697000</v>
      </c>
      <c r="L33" s="378"/>
      <c r="M33" s="371">
        <v>93521</v>
      </c>
      <c r="N33" s="199"/>
    </row>
    <row r="34" spans="1:14">
      <c r="A34" s="199"/>
      <c r="B34" s="199"/>
      <c r="C34" s="379" t="s">
        <v>431</v>
      </c>
      <c r="D34" s="533" t="s">
        <v>432</v>
      </c>
      <c r="E34" s="534">
        <v>1575000</v>
      </c>
      <c r="F34" s="223"/>
      <c r="G34" s="377"/>
      <c r="H34" s="372">
        <v>0</v>
      </c>
      <c r="I34" s="374">
        <v>0</v>
      </c>
      <c r="J34" s="199"/>
      <c r="K34" s="223"/>
      <c r="L34" s="378" t="s">
        <v>433</v>
      </c>
      <c r="M34" s="371">
        <v>0</v>
      </c>
      <c r="N34" s="199"/>
    </row>
    <row r="35" spans="1:14">
      <c r="A35" s="199"/>
      <c r="B35" s="199"/>
      <c r="C35" s="379" t="s">
        <v>434</v>
      </c>
      <c r="D35" s="533" t="s">
        <v>435</v>
      </c>
      <c r="E35" s="534">
        <v>450000</v>
      </c>
      <c r="F35" s="371">
        <v>453560</v>
      </c>
      <c r="G35" s="372">
        <v>607200</v>
      </c>
      <c r="H35" s="372">
        <v>7660000</v>
      </c>
      <c r="I35" s="374">
        <v>245813</v>
      </c>
      <c r="J35" s="199"/>
      <c r="K35" s="371">
        <v>663750</v>
      </c>
      <c r="L35" s="374">
        <v>500000</v>
      </c>
      <c r="M35" s="371">
        <v>5878442</v>
      </c>
      <c r="N35" s="199"/>
    </row>
    <row r="36" spans="1:14">
      <c r="A36" s="199"/>
      <c r="B36" s="199"/>
      <c r="C36" s="379" t="s">
        <v>436</v>
      </c>
      <c r="D36" s="533" t="s">
        <v>437</v>
      </c>
      <c r="E36" s="534">
        <v>0</v>
      </c>
      <c r="F36" s="199"/>
      <c r="G36" s="199"/>
      <c r="H36" s="247"/>
      <c r="I36" s="244"/>
      <c r="J36" s="199"/>
      <c r="K36" s="383">
        <v>642028</v>
      </c>
      <c r="L36" s="381">
        <f>SUM(L37:L51)</f>
        <v>7957369</v>
      </c>
      <c r="M36" s="199"/>
      <c r="N36" s="199"/>
    </row>
    <row r="37" spans="1:14">
      <c r="A37" s="199"/>
      <c r="B37" s="199"/>
      <c r="C37" s="379" t="s">
        <v>438</v>
      </c>
      <c r="D37" s="533" t="s">
        <v>439</v>
      </c>
      <c r="E37" s="534">
        <v>1494000</v>
      </c>
      <c r="F37" s="380">
        <f>SUM(F38:F50)</f>
        <v>22109957</v>
      </c>
      <c r="G37" s="199"/>
      <c r="H37" s="384">
        <f>SUM(H38:H49)</f>
        <v>22937028</v>
      </c>
      <c r="I37" s="381">
        <f>SUM(I38:I51)</f>
        <v>19184092</v>
      </c>
      <c r="J37" s="199"/>
      <c r="K37" s="385"/>
      <c r="L37" s="374">
        <v>0</v>
      </c>
      <c r="M37" s="380">
        <f>SUM(M38:M48)</f>
        <v>20352174</v>
      </c>
      <c r="N37" s="199"/>
    </row>
    <row r="38" spans="1:14">
      <c r="A38" s="199"/>
      <c r="B38" s="199"/>
      <c r="C38" s="379"/>
      <c r="D38" s="533"/>
      <c r="E38" s="533"/>
      <c r="F38" s="371">
        <v>811059</v>
      </c>
      <c r="G38" s="386"/>
      <c r="H38" s="372">
        <v>1294000</v>
      </c>
      <c r="I38" s="374">
        <v>352180</v>
      </c>
      <c r="J38" s="199"/>
      <c r="K38" s="380">
        <f>SUM(K39:K51)</f>
        <v>19616639</v>
      </c>
      <c r="L38" s="374">
        <v>1235140</v>
      </c>
      <c r="M38" s="387">
        <v>1100975</v>
      </c>
      <c r="N38" s="199"/>
    </row>
    <row r="39" spans="1:14">
      <c r="A39" s="199"/>
      <c r="B39" s="199"/>
      <c r="C39" s="369">
        <v>3</v>
      </c>
      <c r="D39" s="531" t="s">
        <v>440</v>
      </c>
      <c r="E39" s="530">
        <f>SUM(E40:E50)</f>
        <v>13223070</v>
      </c>
      <c r="F39" s="371">
        <v>2757661</v>
      </c>
      <c r="G39" s="384">
        <f>SUM(G40:G50)</f>
        <v>11042887</v>
      </c>
      <c r="H39" s="372">
        <v>2672391</v>
      </c>
      <c r="I39" s="374">
        <v>2448722</v>
      </c>
      <c r="J39" s="199"/>
      <c r="K39" s="371">
        <v>568715</v>
      </c>
      <c r="L39" s="374">
        <v>1263417</v>
      </c>
      <c r="M39" s="387">
        <v>2421699</v>
      </c>
      <c r="N39" s="199"/>
    </row>
    <row r="40" spans="1:14">
      <c r="A40" s="199"/>
      <c r="B40" s="199"/>
      <c r="C40" s="370">
        <v>45660</v>
      </c>
      <c r="D40" s="533" t="s">
        <v>441</v>
      </c>
      <c r="E40" s="534">
        <v>1737000</v>
      </c>
      <c r="F40" s="371">
        <v>3945105</v>
      </c>
      <c r="G40" s="247"/>
      <c r="H40" s="372">
        <v>4237451</v>
      </c>
      <c r="I40" s="374">
        <v>4089277</v>
      </c>
      <c r="J40" s="199"/>
      <c r="K40" s="371">
        <v>2932160</v>
      </c>
      <c r="L40" s="374">
        <v>0</v>
      </c>
      <c r="M40" s="387">
        <v>2956640</v>
      </c>
      <c r="N40" s="199"/>
    </row>
    <row r="41" spans="1:14">
      <c r="A41" s="199"/>
      <c r="B41" s="199"/>
      <c r="C41" s="370">
        <v>45691</v>
      </c>
      <c r="D41" s="533" t="s">
        <v>442</v>
      </c>
      <c r="E41" s="534">
        <v>1710900</v>
      </c>
      <c r="F41" s="371">
        <v>640755</v>
      </c>
      <c r="G41" s="372">
        <v>1507679</v>
      </c>
      <c r="H41" s="372">
        <v>420200</v>
      </c>
      <c r="I41" s="374">
        <v>91113</v>
      </c>
      <c r="J41" s="199"/>
      <c r="K41" s="371">
        <v>3303704</v>
      </c>
      <c r="L41" s="374">
        <v>2818504</v>
      </c>
      <c r="M41" s="387">
        <v>2600574</v>
      </c>
      <c r="N41" s="199"/>
    </row>
    <row r="42" spans="1:14">
      <c r="A42" s="199"/>
      <c r="B42" s="199"/>
      <c r="C42" s="370">
        <v>45719</v>
      </c>
      <c r="D42" s="533" t="s">
        <v>443</v>
      </c>
      <c r="E42" s="534">
        <v>2292300</v>
      </c>
      <c r="F42" s="371">
        <v>5361588</v>
      </c>
      <c r="G42" s="372">
        <v>2529092</v>
      </c>
      <c r="H42" s="372">
        <v>5545553</v>
      </c>
      <c r="I42" s="374">
        <v>5319702</v>
      </c>
      <c r="J42" s="199"/>
      <c r="K42" s="371">
        <v>1035000</v>
      </c>
      <c r="L42" s="374">
        <v>0</v>
      </c>
      <c r="M42" s="387">
        <v>3650000</v>
      </c>
      <c r="N42" s="199"/>
    </row>
    <row r="43" spans="1:14">
      <c r="A43" s="199"/>
      <c r="B43" s="199"/>
      <c r="C43" s="370">
        <v>45750</v>
      </c>
      <c r="D43" s="533" t="s">
        <v>444</v>
      </c>
      <c r="E43" s="534">
        <v>777600</v>
      </c>
      <c r="F43" s="371">
        <v>679441</v>
      </c>
      <c r="G43" s="377"/>
      <c r="H43" s="372">
        <v>584000</v>
      </c>
      <c r="I43" s="374">
        <v>13711</v>
      </c>
      <c r="J43" s="199"/>
      <c r="K43" s="371">
        <v>5270548</v>
      </c>
      <c r="L43" s="374">
        <v>0</v>
      </c>
      <c r="M43" s="387">
        <v>526244</v>
      </c>
      <c r="N43" s="199"/>
    </row>
    <row r="44" spans="1:14">
      <c r="A44" s="199"/>
      <c r="B44" s="199"/>
      <c r="C44" s="370">
        <v>45780</v>
      </c>
      <c r="D44" s="533" t="s">
        <v>445</v>
      </c>
      <c r="E44" s="534">
        <v>2298600</v>
      </c>
      <c r="F44" s="371">
        <v>1120294</v>
      </c>
      <c r="G44" s="372">
        <v>2817800</v>
      </c>
      <c r="H44" s="372">
        <v>1052433</v>
      </c>
      <c r="I44" s="374">
        <v>249065</v>
      </c>
      <c r="J44" s="199"/>
      <c r="K44" s="371">
        <v>533600</v>
      </c>
      <c r="L44" s="374">
        <v>1483968</v>
      </c>
      <c r="M44" s="387">
        <v>976372</v>
      </c>
      <c r="N44" s="199"/>
    </row>
    <row r="45" spans="1:14">
      <c r="A45" s="199"/>
      <c r="B45" s="199"/>
      <c r="C45" s="370">
        <v>45811</v>
      </c>
      <c r="D45" s="533" t="s">
        <v>446</v>
      </c>
      <c r="E45" s="534">
        <v>448290</v>
      </c>
      <c r="F45" s="371">
        <v>113890</v>
      </c>
      <c r="G45" s="377"/>
      <c r="H45" s="372">
        <v>445000</v>
      </c>
      <c r="I45" s="374">
        <v>0</v>
      </c>
      <c r="J45" s="199"/>
      <c r="K45" s="371">
        <v>224782</v>
      </c>
      <c r="L45" s="374">
        <v>0</v>
      </c>
      <c r="M45" s="387">
        <v>3982300</v>
      </c>
      <c r="N45" s="199"/>
    </row>
    <row r="46" spans="1:14">
      <c r="A46" s="199"/>
      <c r="B46" s="199"/>
      <c r="C46" s="370">
        <v>45841</v>
      </c>
      <c r="D46" s="533" t="s">
        <v>447</v>
      </c>
      <c r="E46" s="534">
        <v>700560</v>
      </c>
      <c r="F46" s="371">
        <v>1289284</v>
      </c>
      <c r="G46" s="377"/>
      <c r="H46" s="372">
        <v>140000</v>
      </c>
      <c r="I46" s="374">
        <v>0</v>
      </c>
      <c r="J46" s="199"/>
      <c r="K46" s="371">
        <v>4589569</v>
      </c>
      <c r="L46" s="374">
        <v>100000</v>
      </c>
      <c r="M46" s="387">
        <v>1381343</v>
      </c>
      <c r="N46" s="199"/>
    </row>
    <row r="47" spans="1:14">
      <c r="A47" s="199"/>
      <c r="B47" s="199"/>
      <c r="C47" s="370">
        <v>45872</v>
      </c>
      <c r="D47" s="536" t="s">
        <v>448</v>
      </c>
      <c r="E47" s="534">
        <v>1901520</v>
      </c>
      <c r="F47" s="371">
        <v>5019298</v>
      </c>
      <c r="G47" s="377"/>
      <c r="H47" s="372">
        <v>5086000</v>
      </c>
      <c r="I47" s="374">
        <v>26094</v>
      </c>
      <c r="J47" s="199"/>
      <c r="K47" s="371">
        <v>75000</v>
      </c>
      <c r="L47" s="388">
        <v>0</v>
      </c>
      <c r="M47" s="387">
        <v>299138</v>
      </c>
      <c r="N47" s="199"/>
    </row>
    <row r="48" spans="1:14">
      <c r="A48" s="199"/>
      <c r="B48" s="199"/>
      <c r="C48" s="370">
        <v>45903</v>
      </c>
      <c r="D48" s="536" t="s">
        <v>449</v>
      </c>
      <c r="E48" s="534">
        <v>960300</v>
      </c>
      <c r="F48" s="371">
        <v>104690</v>
      </c>
      <c r="G48" s="372">
        <v>844300</v>
      </c>
      <c r="H48" s="372">
        <v>1280000</v>
      </c>
      <c r="I48" s="374">
        <v>0</v>
      </c>
      <c r="J48" s="199"/>
      <c r="K48" s="371">
        <v>756615</v>
      </c>
      <c r="L48" s="388">
        <v>0</v>
      </c>
      <c r="M48" s="387">
        <v>456889</v>
      </c>
      <c r="N48" s="199"/>
    </row>
    <row r="49" spans="1:14">
      <c r="A49" s="199"/>
      <c r="B49" s="199"/>
      <c r="C49" s="370">
        <v>45933</v>
      </c>
      <c r="D49" s="533" t="s">
        <v>450</v>
      </c>
      <c r="E49" s="534">
        <v>90000</v>
      </c>
      <c r="F49" s="371">
        <v>0</v>
      </c>
      <c r="G49" s="372">
        <v>3344016</v>
      </c>
      <c r="H49" s="372">
        <v>180000</v>
      </c>
      <c r="I49" s="374">
        <v>1068119</v>
      </c>
      <c r="J49" s="199"/>
      <c r="K49" s="371">
        <v>75000</v>
      </c>
      <c r="L49" s="388">
        <v>100000</v>
      </c>
      <c r="M49" s="199"/>
      <c r="N49" s="199"/>
    </row>
    <row r="50" spans="1:14">
      <c r="A50" s="199"/>
      <c r="B50" s="199"/>
      <c r="C50" s="370">
        <v>45964</v>
      </c>
      <c r="D50" s="536" t="s">
        <v>451</v>
      </c>
      <c r="E50" s="534">
        <v>306000</v>
      </c>
      <c r="F50" s="371">
        <v>266892</v>
      </c>
      <c r="G50" s="247"/>
      <c r="H50" s="247"/>
      <c r="I50" s="374">
        <v>5526109</v>
      </c>
      <c r="J50" s="199"/>
      <c r="K50" s="371">
        <v>101946</v>
      </c>
      <c r="L50" s="388">
        <v>545500</v>
      </c>
      <c r="M50" s="530">
        <f>SUM(M51:M59)</f>
        <v>3914000</v>
      </c>
      <c r="N50" s="199"/>
    </row>
    <row r="51" spans="1:14">
      <c r="A51" s="199"/>
      <c r="B51" s="199"/>
      <c r="C51" s="244"/>
      <c r="D51" s="533"/>
      <c r="E51" s="533"/>
      <c r="F51" s="199"/>
      <c r="G51" s="199"/>
      <c r="H51" s="247"/>
      <c r="I51" s="374">
        <v>0</v>
      </c>
      <c r="J51" s="199"/>
      <c r="K51" s="371">
        <v>150000</v>
      </c>
      <c r="L51" s="388">
        <v>410840</v>
      </c>
      <c r="M51" s="371">
        <v>1300000</v>
      </c>
      <c r="N51" s="199"/>
    </row>
    <row r="52" spans="1:14">
      <c r="A52" s="199"/>
      <c r="B52" s="199"/>
      <c r="C52" s="369">
        <v>4</v>
      </c>
      <c r="D52" s="531" t="s">
        <v>452</v>
      </c>
      <c r="E52" s="530">
        <f t="shared" ref="E52:I52" si="3">SUM(E53:E61)</f>
        <v>5845500</v>
      </c>
      <c r="F52" s="530">
        <f t="shared" si="3"/>
        <v>4347000</v>
      </c>
      <c r="G52" s="530">
        <f t="shared" si="3"/>
        <v>7979712</v>
      </c>
      <c r="H52" s="530">
        <f t="shared" si="3"/>
        <v>6655000</v>
      </c>
      <c r="I52" s="530">
        <f t="shared" si="3"/>
        <v>8998393</v>
      </c>
      <c r="J52" s="199"/>
      <c r="K52" s="530">
        <f t="shared" ref="K52:L52" si="4">SUM(K53:K61)</f>
        <v>5494461</v>
      </c>
      <c r="L52" s="530">
        <f t="shared" si="4"/>
        <v>5633800</v>
      </c>
      <c r="M52" s="371">
        <v>130000</v>
      </c>
      <c r="N52" s="199"/>
    </row>
    <row r="53" spans="1:14">
      <c r="A53" s="199"/>
      <c r="B53" s="199"/>
      <c r="C53" s="370">
        <v>45661</v>
      </c>
      <c r="D53" s="533" t="s">
        <v>453</v>
      </c>
      <c r="E53" s="534">
        <v>1800000</v>
      </c>
      <c r="F53" s="371">
        <v>1150000</v>
      </c>
      <c r="G53" s="372">
        <v>1766400</v>
      </c>
      <c r="H53" s="372">
        <v>1800000</v>
      </c>
      <c r="I53" s="374">
        <v>720000</v>
      </c>
      <c r="J53" s="199"/>
      <c r="K53" s="371">
        <v>500000</v>
      </c>
      <c r="L53" s="374">
        <v>1045000</v>
      </c>
      <c r="M53" s="371">
        <v>165000</v>
      </c>
      <c r="N53" s="199"/>
    </row>
    <row r="54" spans="1:14">
      <c r="A54" s="199"/>
      <c r="B54" s="199"/>
      <c r="C54" s="370">
        <v>45692</v>
      </c>
      <c r="D54" s="533" t="s">
        <v>454</v>
      </c>
      <c r="E54" s="534">
        <v>225000</v>
      </c>
      <c r="F54" s="371">
        <v>172500</v>
      </c>
      <c r="G54" s="372">
        <v>110400</v>
      </c>
      <c r="H54" s="372">
        <v>150000</v>
      </c>
      <c r="I54" s="374">
        <v>200000</v>
      </c>
      <c r="J54" s="199"/>
      <c r="K54" s="371">
        <v>150000</v>
      </c>
      <c r="L54" s="374">
        <v>110000</v>
      </c>
      <c r="M54" s="371">
        <v>90000</v>
      </c>
      <c r="N54" s="199"/>
    </row>
    <row r="55" spans="1:14">
      <c r="A55" s="199"/>
      <c r="B55" s="199"/>
      <c r="C55" s="370">
        <v>45720</v>
      </c>
      <c r="D55" s="533" t="s">
        <v>455</v>
      </c>
      <c r="E55" s="534">
        <v>180000</v>
      </c>
      <c r="F55" s="371">
        <v>57500</v>
      </c>
      <c r="G55" s="372">
        <v>132480</v>
      </c>
      <c r="H55" s="372">
        <v>100000</v>
      </c>
      <c r="I55" s="374">
        <v>50000</v>
      </c>
      <c r="J55" s="199"/>
      <c r="K55" s="371">
        <v>114750</v>
      </c>
      <c r="L55" s="374">
        <v>150000</v>
      </c>
      <c r="M55" s="371">
        <v>65000</v>
      </c>
      <c r="N55" s="199"/>
    </row>
    <row r="56" spans="1:14">
      <c r="A56" s="199"/>
      <c r="B56" s="199"/>
      <c r="C56" s="370">
        <v>45751</v>
      </c>
      <c r="D56" s="533" t="s">
        <v>456</v>
      </c>
      <c r="E56" s="534">
        <v>108000</v>
      </c>
      <c r="F56" s="371">
        <v>184000</v>
      </c>
      <c r="G56" s="372">
        <v>101789</v>
      </c>
      <c r="H56" s="372">
        <v>50000</v>
      </c>
      <c r="I56" s="374">
        <v>190000</v>
      </c>
      <c r="J56" s="199"/>
      <c r="K56" s="371">
        <v>194000</v>
      </c>
      <c r="L56" s="374">
        <v>150000</v>
      </c>
      <c r="M56" s="371">
        <v>462000</v>
      </c>
      <c r="N56" s="199"/>
    </row>
    <row r="57" spans="1:14">
      <c r="A57" s="199"/>
      <c r="B57" s="199"/>
      <c r="C57" s="370">
        <v>45781</v>
      </c>
      <c r="D57" s="533" t="s">
        <v>457</v>
      </c>
      <c r="E57" s="534">
        <v>22500</v>
      </c>
      <c r="F57" s="371">
        <v>69000</v>
      </c>
      <c r="G57" s="372">
        <v>27600</v>
      </c>
      <c r="H57" s="372">
        <v>25000</v>
      </c>
      <c r="I57" s="374">
        <v>50000</v>
      </c>
      <c r="J57" s="199"/>
      <c r="K57" s="371">
        <v>15000</v>
      </c>
      <c r="L57" s="374">
        <v>20000</v>
      </c>
      <c r="M57" s="371">
        <v>168000</v>
      </c>
      <c r="N57" s="199"/>
    </row>
    <row r="58" spans="1:14">
      <c r="A58" s="199"/>
      <c r="B58" s="199"/>
      <c r="C58" s="370">
        <v>45812</v>
      </c>
      <c r="D58" s="533" t="s">
        <v>458</v>
      </c>
      <c r="E58" s="534">
        <v>0</v>
      </c>
      <c r="F58" s="371">
        <v>1104000</v>
      </c>
      <c r="G58" s="372">
        <v>905280</v>
      </c>
      <c r="H58" s="372">
        <v>1200000</v>
      </c>
      <c r="I58" s="374">
        <v>1318125</v>
      </c>
      <c r="J58" s="199"/>
      <c r="K58" s="371">
        <v>237600</v>
      </c>
      <c r="L58" s="374">
        <v>323000</v>
      </c>
      <c r="M58" s="371">
        <v>1284000</v>
      </c>
      <c r="N58" s="199"/>
    </row>
    <row r="59" spans="1:14">
      <c r="A59" s="199"/>
      <c r="B59" s="199"/>
      <c r="C59" s="370">
        <v>45842</v>
      </c>
      <c r="D59" s="533" t="s">
        <v>459</v>
      </c>
      <c r="E59" s="534">
        <v>135000</v>
      </c>
      <c r="F59" s="371">
        <v>0</v>
      </c>
      <c r="G59" s="372">
        <v>905280</v>
      </c>
      <c r="H59" s="372">
        <v>880000</v>
      </c>
      <c r="I59" s="374">
        <v>317488</v>
      </c>
      <c r="J59" s="199"/>
      <c r="K59" s="371">
        <v>430978</v>
      </c>
      <c r="L59" s="374">
        <v>413000</v>
      </c>
      <c r="M59" s="371">
        <v>250000</v>
      </c>
      <c r="N59" s="199"/>
    </row>
    <row r="60" spans="1:14">
      <c r="A60" s="199"/>
      <c r="B60" s="199"/>
      <c r="C60" s="370">
        <v>45873</v>
      </c>
      <c r="D60" s="533" t="s">
        <v>460</v>
      </c>
      <c r="E60" s="534">
        <v>2700000</v>
      </c>
      <c r="F60" s="371">
        <v>1380000</v>
      </c>
      <c r="G60" s="372">
        <v>2208000</v>
      </c>
      <c r="H60" s="372">
        <v>2200000</v>
      </c>
      <c r="I60" s="374">
        <v>5642543</v>
      </c>
      <c r="J60" s="199"/>
      <c r="K60" s="371">
        <v>3652133</v>
      </c>
      <c r="L60" s="374">
        <v>3322800</v>
      </c>
      <c r="M60" s="199"/>
      <c r="N60" s="199"/>
    </row>
    <row r="61" spans="1:14">
      <c r="A61" s="199"/>
      <c r="B61" s="199"/>
      <c r="C61" s="370">
        <v>45904</v>
      </c>
      <c r="D61" s="533" t="s">
        <v>461</v>
      </c>
      <c r="E61" s="534">
        <v>675000</v>
      </c>
      <c r="F61" s="371">
        <v>230000</v>
      </c>
      <c r="G61" s="372">
        <v>1822483</v>
      </c>
      <c r="H61" s="372">
        <v>250000</v>
      </c>
      <c r="I61" s="374">
        <v>510237</v>
      </c>
      <c r="J61" s="199"/>
      <c r="K61" s="371">
        <v>200000</v>
      </c>
      <c r="L61" s="374">
        <v>100000</v>
      </c>
      <c r="M61" s="199"/>
      <c r="N61" s="199"/>
    </row>
    <row r="62" spans="1:14">
      <c r="A62" s="199"/>
      <c r="B62" s="199"/>
      <c r="C62" s="199"/>
      <c r="D62" s="199"/>
      <c r="E62" s="199"/>
      <c r="F62" s="199"/>
      <c r="G62" s="199"/>
      <c r="H62" s="199"/>
      <c r="I62" s="199"/>
      <c r="J62" s="199"/>
      <c r="K62" s="199"/>
      <c r="L62" s="199"/>
      <c r="M62" s="199"/>
      <c r="N62" s="199"/>
    </row>
    <row r="63" spans="1:14">
      <c r="A63" s="199"/>
      <c r="B63" s="199"/>
      <c r="C63" s="361">
        <v>1</v>
      </c>
      <c r="D63" s="389" t="s">
        <v>400</v>
      </c>
      <c r="E63" s="390">
        <f t="shared" ref="E63:F63" si="5">E6</f>
        <v>31451782</v>
      </c>
      <c r="F63" s="390">
        <f t="shared" si="5"/>
        <v>32896913</v>
      </c>
      <c r="G63" s="390">
        <v>25376251</v>
      </c>
      <c r="H63" s="390">
        <v>29615528</v>
      </c>
      <c r="I63" s="390">
        <v>30929105</v>
      </c>
      <c r="J63" s="390">
        <f>J5</f>
        <v>27766243.190000001</v>
      </c>
      <c r="K63" s="390">
        <f t="shared" ref="K63:M63" si="6">K6</f>
        <v>32518828</v>
      </c>
      <c r="L63" s="390">
        <f t="shared" si="6"/>
        <v>30330943</v>
      </c>
      <c r="M63" s="390">
        <f t="shared" si="6"/>
        <v>33596581</v>
      </c>
      <c r="N63" s="199"/>
    </row>
    <row r="64" spans="1:14">
      <c r="A64" s="199"/>
      <c r="B64" s="199"/>
      <c r="C64" s="379">
        <v>2</v>
      </c>
      <c r="D64" s="533" t="s">
        <v>417</v>
      </c>
      <c r="E64" s="537">
        <f>E21</f>
        <v>57679340</v>
      </c>
      <c r="F64" s="537">
        <f>F19</f>
        <v>58895042</v>
      </c>
      <c r="G64" s="537">
        <v>70923981</v>
      </c>
      <c r="H64" s="537">
        <v>53730691</v>
      </c>
      <c r="I64" s="537">
        <v>53358627</v>
      </c>
      <c r="J64" s="538">
        <f>J17</f>
        <v>88119512.930000007</v>
      </c>
      <c r="K64" s="537">
        <f t="shared" ref="K64:M64" si="7">K19</f>
        <v>51265210</v>
      </c>
      <c r="L64" s="537">
        <f t="shared" si="7"/>
        <v>71058262</v>
      </c>
      <c r="M64" s="537">
        <f t="shared" si="7"/>
        <v>50127623</v>
      </c>
      <c r="N64" s="199"/>
    </row>
    <row r="65" spans="1:14">
      <c r="A65" s="199"/>
      <c r="B65" s="199"/>
      <c r="C65" s="379">
        <v>3</v>
      </c>
      <c r="D65" s="533" t="s">
        <v>440</v>
      </c>
      <c r="E65" s="537">
        <f>E39</f>
        <v>13223070</v>
      </c>
      <c r="F65" s="537">
        <f>F37</f>
        <v>22109957</v>
      </c>
      <c r="G65" s="537">
        <v>11042886</v>
      </c>
      <c r="H65" s="537">
        <v>22937028</v>
      </c>
      <c r="I65" s="537">
        <v>19184093</v>
      </c>
      <c r="J65" s="538">
        <f>J19</f>
        <v>390160</v>
      </c>
      <c r="K65" s="537">
        <f>K38</f>
        <v>19616639</v>
      </c>
      <c r="L65" s="537">
        <f>L36</f>
        <v>7957369</v>
      </c>
      <c r="M65" s="537">
        <f>M37</f>
        <v>20352174</v>
      </c>
      <c r="N65" s="199"/>
    </row>
    <row r="66" spans="1:14">
      <c r="A66" s="199"/>
      <c r="B66" s="199"/>
      <c r="C66" s="379">
        <v>4</v>
      </c>
      <c r="D66" s="533" t="s">
        <v>452</v>
      </c>
      <c r="E66" s="537">
        <f t="shared" ref="E66:I66" si="8">E52</f>
        <v>5845500</v>
      </c>
      <c r="F66" s="537">
        <f t="shared" si="8"/>
        <v>4347000</v>
      </c>
      <c r="G66" s="537">
        <f t="shared" si="8"/>
        <v>7979712</v>
      </c>
      <c r="H66" s="537">
        <f t="shared" si="8"/>
        <v>6655000</v>
      </c>
      <c r="I66" s="537">
        <f t="shared" si="8"/>
        <v>8998393</v>
      </c>
      <c r="J66" s="538">
        <f>J22</f>
        <v>2724083.88</v>
      </c>
      <c r="K66" s="537">
        <f t="shared" ref="K66:L66" si="9">K52</f>
        <v>5494461</v>
      </c>
      <c r="L66" s="537">
        <f t="shared" si="9"/>
        <v>5633800</v>
      </c>
      <c r="M66" s="537">
        <f>M50</f>
        <v>3914000</v>
      </c>
      <c r="N66" s="199"/>
    </row>
    <row r="67" spans="1:14">
      <c r="A67" s="199"/>
      <c r="B67" s="199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</row>
    <row r="68" spans="1:14">
      <c r="A68" s="199"/>
      <c r="B68" s="199"/>
      <c r="C68" s="361">
        <v>5</v>
      </c>
      <c r="D68" s="391" t="s">
        <v>462</v>
      </c>
      <c r="E68" s="392">
        <f t="shared" ref="E68:M68" si="10">SUM(E63:E66)</f>
        <v>108199692</v>
      </c>
      <c r="F68" s="393">
        <f t="shared" si="10"/>
        <v>118248912</v>
      </c>
      <c r="G68" s="393">
        <f t="shared" si="10"/>
        <v>115322830</v>
      </c>
      <c r="H68" s="393">
        <f t="shared" si="10"/>
        <v>112938247</v>
      </c>
      <c r="I68" s="393">
        <f t="shared" si="10"/>
        <v>112470218</v>
      </c>
      <c r="J68" s="393">
        <f t="shared" si="10"/>
        <v>119000000</v>
      </c>
      <c r="K68" s="392">
        <f t="shared" si="10"/>
        <v>108895138</v>
      </c>
      <c r="L68" s="393">
        <f t="shared" si="10"/>
        <v>114980374</v>
      </c>
      <c r="M68" s="392">
        <f t="shared" si="10"/>
        <v>107990378</v>
      </c>
      <c r="N68" s="199"/>
    </row>
    <row r="69" spans="1:14">
      <c r="A69" s="199"/>
      <c r="B69" s="199"/>
      <c r="C69" s="199"/>
      <c r="D69" s="199"/>
      <c r="E69" s="203">
        <v>1</v>
      </c>
      <c r="F69" s="203">
        <v>2</v>
      </c>
      <c r="G69" s="203">
        <v>3</v>
      </c>
      <c r="H69" s="203">
        <v>4</v>
      </c>
      <c r="I69" s="203">
        <v>5</v>
      </c>
      <c r="J69" s="203">
        <v>6</v>
      </c>
      <c r="K69" s="203">
        <v>7</v>
      </c>
      <c r="L69" s="203">
        <v>8</v>
      </c>
      <c r="M69" s="203">
        <v>9</v>
      </c>
      <c r="N69" s="199"/>
    </row>
    <row r="70" spans="1:14">
      <c r="A70" s="199"/>
      <c r="B70" s="199"/>
      <c r="C70" s="361">
        <v>6</v>
      </c>
      <c r="D70" s="389" t="s">
        <v>463</v>
      </c>
      <c r="E70" s="394">
        <v>133667780</v>
      </c>
      <c r="F70" s="394">
        <v>120446000</v>
      </c>
      <c r="G70" s="394">
        <v>186456000</v>
      </c>
      <c r="H70" s="394">
        <v>117350000</v>
      </c>
      <c r="I70" s="394">
        <v>124749321</v>
      </c>
      <c r="J70" s="394">
        <v>121435000</v>
      </c>
      <c r="K70" s="394">
        <v>118051000</v>
      </c>
      <c r="L70" s="394">
        <v>119619520</v>
      </c>
      <c r="M70" s="394">
        <v>112931956</v>
      </c>
      <c r="N70" s="199"/>
    </row>
    <row r="71" spans="1:14">
      <c r="A71" s="199"/>
      <c r="B71" s="199"/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</row>
    <row r="72" spans="1:14">
      <c r="A72" s="199"/>
      <c r="B72" s="199"/>
      <c r="C72" s="361">
        <v>7</v>
      </c>
      <c r="D72" s="395" t="s">
        <v>464</v>
      </c>
      <c r="E72" s="396">
        <f t="shared" ref="E72:M72" si="11">E70-E68</f>
        <v>25468088</v>
      </c>
      <c r="F72" s="396">
        <f t="shared" si="11"/>
        <v>2197088</v>
      </c>
      <c r="G72" s="396">
        <f t="shared" si="11"/>
        <v>71133170</v>
      </c>
      <c r="H72" s="396">
        <f t="shared" si="11"/>
        <v>4411753</v>
      </c>
      <c r="I72" s="397">
        <f t="shared" si="11"/>
        <v>12279103</v>
      </c>
      <c r="J72" s="398">
        <f t="shared" si="11"/>
        <v>2435000</v>
      </c>
      <c r="K72" s="399">
        <f t="shared" si="11"/>
        <v>9155862</v>
      </c>
      <c r="L72" s="398">
        <f t="shared" si="11"/>
        <v>4639146</v>
      </c>
      <c r="M72" s="400">
        <f t="shared" si="11"/>
        <v>4941578</v>
      </c>
      <c r="N72" s="199"/>
    </row>
    <row r="73" spans="1:14">
      <c r="A73" s="199"/>
      <c r="B73" s="199"/>
      <c r="C73" s="379">
        <v>8</v>
      </c>
      <c r="D73" s="248" t="s">
        <v>465</v>
      </c>
      <c r="E73" s="401">
        <f t="shared" ref="E73:M73" si="12">E72/E70</f>
        <v>0.19053273720862274</v>
      </c>
      <c r="F73" s="401">
        <f t="shared" si="12"/>
        <v>1.8241269946698106E-2</v>
      </c>
      <c r="G73" s="401">
        <f t="shared" si="12"/>
        <v>0.38150110481829491</v>
      </c>
      <c r="H73" s="401">
        <f t="shared" si="12"/>
        <v>3.759482743928419E-2</v>
      </c>
      <c r="I73" s="401">
        <f t="shared" si="12"/>
        <v>9.8430219111172557E-2</v>
      </c>
      <c r="J73" s="401">
        <f t="shared" si="12"/>
        <v>2.0051879606373779E-2</v>
      </c>
      <c r="K73" s="401">
        <f t="shared" si="12"/>
        <v>7.7558529787972993E-2</v>
      </c>
      <c r="L73" s="401">
        <f t="shared" si="12"/>
        <v>3.8782516432100712E-2</v>
      </c>
      <c r="M73" s="401">
        <f t="shared" si="12"/>
        <v>4.3757127521992095E-2</v>
      </c>
      <c r="N73" s="199"/>
    </row>
    <row r="74" spans="1:14">
      <c r="A74" s="199"/>
      <c r="B74" s="199"/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</row>
    <row r="75" spans="1:14">
      <c r="A75" s="199"/>
      <c r="B75" s="199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</row>
  </sheetData>
  <mergeCells count="1">
    <mergeCell ref="C2:N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013"/>
  <sheetViews>
    <sheetView workbookViewId="0"/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7.87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27" width="7" customWidth="1"/>
  </cols>
  <sheetData>
    <row r="1" spans="1:27" ht="30" customHeight="1">
      <c r="A1" s="48"/>
      <c r="B1" s="593" t="s">
        <v>466</v>
      </c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7" ht="18" customHeight="1">
      <c r="A2" s="50"/>
      <c r="B2" s="51"/>
      <c r="C2" s="52"/>
      <c r="D2" s="53"/>
      <c r="E2" s="54"/>
      <c r="F2" s="55"/>
      <c r="G2" s="55"/>
      <c r="H2" s="56"/>
      <c r="I2" s="56"/>
      <c r="J2" s="52"/>
      <c r="K2" s="52"/>
      <c r="L2" s="53"/>
      <c r="M2" s="54"/>
      <c r="N2" s="57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</row>
    <row r="3" spans="1:27" ht="18" customHeight="1">
      <c r="A3" s="50"/>
      <c r="B3" s="49"/>
      <c r="C3" s="58"/>
      <c r="D3" s="59"/>
      <c r="F3" s="402"/>
      <c r="G3" s="60"/>
      <c r="H3" s="49"/>
      <c r="I3" s="49"/>
      <c r="J3" s="58"/>
      <c r="K3" s="58"/>
      <c r="L3" s="59"/>
      <c r="M3" s="61"/>
      <c r="N3" s="60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</row>
    <row r="4" spans="1:27" ht="30" customHeight="1">
      <c r="A4" s="50"/>
      <c r="B4" s="563" t="s">
        <v>72</v>
      </c>
      <c r="C4" s="595"/>
      <c r="D4" s="595"/>
      <c r="E4" s="595"/>
      <c r="F4" s="596"/>
      <c r="G4" s="62"/>
      <c r="H4" s="49"/>
      <c r="I4" s="564" t="s">
        <v>73</v>
      </c>
      <c r="J4" s="595"/>
      <c r="K4" s="595"/>
      <c r="L4" s="595"/>
      <c r="M4" s="595"/>
      <c r="N4" s="596"/>
      <c r="O4" s="49"/>
      <c r="P4" s="49"/>
      <c r="Q4" s="564" t="s">
        <v>74</v>
      </c>
      <c r="R4" s="596"/>
      <c r="S4" s="49"/>
      <c r="T4" s="49"/>
      <c r="U4" s="49"/>
      <c r="V4" s="49"/>
      <c r="W4" s="49"/>
      <c r="X4" s="49"/>
      <c r="Y4" s="49"/>
      <c r="Z4" s="49"/>
      <c r="AA4" s="49"/>
    </row>
    <row r="5" spans="1:27" ht="18" customHeight="1">
      <c r="A5" s="50"/>
      <c r="B5" s="49"/>
      <c r="C5" s="58"/>
      <c r="D5" s="59"/>
      <c r="E5" s="58"/>
      <c r="F5" s="58"/>
      <c r="G5" s="63"/>
      <c r="H5" s="49"/>
      <c r="I5" s="49"/>
      <c r="J5" s="58"/>
      <c r="K5" s="58"/>
      <c r="L5" s="59"/>
      <c r="M5" s="61"/>
      <c r="N5" s="60"/>
      <c r="O5" s="49"/>
      <c r="P5" s="49"/>
      <c r="S5" s="49"/>
      <c r="T5" s="49"/>
      <c r="U5" s="49"/>
      <c r="V5" s="49"/>
      <c r="W5" s="49"/>
      <c r="X5" s="49"/>
      <c r="Y5" s="49"/>
      <c r="Z5" s="49"/>
      <c r="AA5" s="49"/>
    </row>
    <row r="6" spans="1:27" ht="18" customHeight="1">
      <c r="A6" s="50" t="s">
        <v>75</v>
      </c>
      <c r="B6" s="565" t="s">
        <v>76</v>
      </c>
      <c r="C6" s="595"/>
      <c r="D6" s="595"/>
      <c r="E6" s="595"/>
      <c r="F6" s="596"/>
      <c r="G6" s="64"/>
      <c r="H6" s="49"/>
      <c r="I6" s="566" t="s">
        <v>73</v>
      </c>
      <c r="J6" s="595"/>
      <c r="K6" s="595"/>
      <c r="L6" s="595"/>
      <c r="M6" s="595"/>
      <c r="N6" s="596"/>
      <c r="O6" s="49"/>
      <c r="P6" s="49"/>
      <c r="Q6" s="566" t="s">
        <v>77</v>
      </c>
      <c r="R6" s="596"/>
      <c r="S6" s="49"/>
      <c r="T6" s="49"/>
      <c r="U6" s="49"/>
      <c r="V6" s="49"/>
      <c r="W6" s="49"/>
      <c r="X6" s="49"/>
      <c r="Y6" s="49"/>
      <c r="Z6" s="49"/>
      <c r="AA6" s="49"/>
    </row>
    <row r="7" spans="1:27" ht="18" customHeight="1">
      <c r="A7" s="50"/>
      <c r="B7" s="65"/>
      <c r="C7" s="66" t="s">
        <v>78</v>
      </c>
      <c r="D7" s="66" t="s">
        <v>79</v>
      </c>
      <c r="E7" s="67" t="s">
        <v>80</v>
      </c>
      <c r="F7" s="68" t="s">
        <v>467</v>
      </c>
      <c r="G7" s="63"/>
      <c r="H7" s="49"/>
      <c r="I7" s="69"/>
      <c r="J7" s="67" t="s">
        <v>81</v>
      </c>
      <c r="K7" s="67" t="s">
        <v>82</v>
      </c>
      <c r="L7" s="67" t="s">
        <v>83</v>
      </c>
      <c r="M7" s="67" t="s">
        <v>84</v>
      </c>
      <c r="N7" s="70" t="s">
        <v>468</v>
      </c>
      <c r="O7" s="49"/>
      <c r="P7" s="49"/>
      <c r="Q7" s="71" t="s">
        <v>86</v>
      </c>
      <c r="R7" s="72">
        <v>0</v>
      </c>
      <c r="S7" s="49"/>
      <c r="T7" s="49"/>
      <c r="U7" s="49"/>
      <c r="V7" s="49"/>
      <c r="W7" s="49"/>
      <c r="X7" s="49"/>
      <c r="Y7" s="49"/>
      <c r="Z7" s="49"/>
      <c r="AA7" s="49"/>
    </row>
    <row r="8" spans="1:27" ht="18" customHeight="1">
      <c r="A8" s="50"/>
      <c r="B8" s="539" t="s">
        <v>469</v>
      </c>
      <c r="C8" s="73" t="s">
        <v>87</v>
      </c>
      <c r="D8" s="73">
        <v>6432</v>
      </c>
      <c r="E8" s="403">
        <v>10</v>
      </c>
      <c r="F8" s="84">
        <f>((E8*D8)*SUM(R7:R13))</f>
        <v>771840</v>
      </c>
      <c r="G8" s="76"/>
      <c r="H8" s="49"/>
      <c r="I8" s="77" t="str">
        <f>Rentroll!A2</f>
        <v>Billa</v>
      </c>
      <c r="J8" s="78">
        <f>Rentroll!C2</f>
        <v>1300</v>
      </c>
      <c r="K8" s="78" t="str">
        <f>Rentroll!B2</f>
        <v>shell and core</v>
      </c>
      <c r="L8" s="79">
        <f>Rentroll!F2</f>
        <v>262.25</v>
      </c>
      <c r="M8" s="79">
        <f>Rentroll!I2</f>
        <v>50</v>
      </c>
      <c r="N8" s="80">
        <f t="shared" ref="N8:N16" si="0">IF(J8&gt;0,J8,1)*(L8)</f>
        <v>340925</v>
      </c>
      <c r="O8" s="49"/>
      <c r="P8" s="49"/>
      <c r="Q8" s="81" t="s">
        <v>88</v>
      </c>
      <c r="R8" s="82">
        <v>6</v>
      </c>
      <c r="S8" s="49"/>
      <c r="T8" s="49"/>
      <c r="U8" s="49"/>
      <c r="V8" s="49"/>
      <c r="W8" s="49"/>
      <c r="X8" s="49"/>
      <c r="Y8" s="49"/>
      <c r="Z8" s="49"/>
      <c r="AA8" s="49"/>
    </row>
    <row r="9" spans="1:27" ht="18" customHeight="1">
      <c r="A9" s="50"/>
      <c r="B9" s="404" t="s">
        <v>470</v>
      </c>
      <c r="C9" s="405" t="s">
        <v>91</v>
      </c>
      <c r="D9" s="406">
        <v>0.02</v>
      </c>
      <c r="E9" s="407">
        <f>E8*D9</f>
        <v>0.2</v>
      </c>
      <c r="F9" s="408">
        <f>F8*D9</f>
        <v>15436.800000000001</v>
      </c>
      <c r="G9" s="85"/>
      <c r="H9" s="49"/>
      <c r="I9" s="77" t="str">
        <f>Rentroll!A3</f>
        <v>Benu</v>
      </c>
      <c r="J9" s="78">
        <f>Rentroll!C3</f>
        <v>132</v>
      </c>
      <c r="K9" s="78" t="str">
        <f>Rentroll!B3</f>
        <v>shell and core</v>
      </c>
      <c r="L9" s="79">
        <f>Rentroll!F3</f>
        <v>450</v>
      </c>
      <c r="M9" s="79">
        <f>Rentroll!I3</f>
        <v>38</v>
      </c>
      <c r="N9" s="80">
        <f t="shared" si="0"/>
        <v>59400</v>
      </c>
      <c r="O9" s="49"/>
      <c r="P9" s="49"/>
      <c r="Q9" s="77" t="s">
        <v>90</v>
      </c>
      <c r="R9" s="88">
        <v>0</v>
      </c>
      <c r="S9" s="49"/>
      <c r="T9" s="49"/>
      <c r="U9" s="49"/>
      <c r="V9" s="49"/>
      <c r="W9" s="49"/>
      <c r="X9" s="49"/>
      <c r="Y9" s="49"/>
      <c r="Z9" s="49"/>
      <c r="AA9" s="49"/>
    </row>
    <row r="10" spans="1:27" ht="18" customHeight="1">
      <c r="A10" s="50"/>
      <c r="B10" s="94" t="s">
        <v>95</v>
      </c>
      <c r="C10" s="555">
        <f>SUM(F8:F9)</f>
        <v>787276.80000000005</v>
      </c>
      <c r="D10" s="595"/>
      <c r="E10" s="595"/>
      <c r="F10" s="596"/>
      <c r="G10" s="85"/>
      <c r="H10" s="49"/>
      <c r="I10" s="77" t="str">
        <f>Rentroll!A4</f>
        <v>Style</v>
      </c>
      <c r="J10" s="78">
        <f>Rentroll!C4</f>
        <v>703</v>
      </c>
      <c r="K10" s="78" t="str">
        <f>Rentroll!B4</f>
        <v>full fit-out</v>
      </c>
      <c r="L10" s="79">
        <f>Rentroll!F4</f>
        <v>250</v>
      </c>
      <c r="M10" s="79">
        <f>Rentroll!I4</f>
        <v>40</v>
      </c>
      <c r="N10" s="80">
        <f t="shared" si="0"/>
        <v>175750</v>
      </c>
      <c r="O10" s="49"/>
      <c r="P10" s="49"/>
      <c r="Q10" s="77" t="s">
        <v>89</v>
      </c>
      <c r="R10" s="86">
        <v>0</v>
      </c>
      <c r="S10" s="49"/>
      <c r="T10" s="49"/>
      <c r="U10" s="49"/>
      <c r="V10" s="49"/>
      <c r="W10" s="49"/>
      <c r="X10" s="49"/>
      <c r="Y10" s="49"/>
      <c r="Z10" s="49"/>
      <c r="AA10" s="49"/>
    </row>
    <row r="11" spans="1:27" ht="18" customHeight="1">
      <c r="B11" s="98" t="s">
        <v>97</v>
      </c>
      <c r="C11" s="3"/>
      <c r="D11" s="3"/>
      <c r="E11" s="3"/>
      <c r="F11" s="99">
        <f>C10/J17</f>
        <v>204.38130841121497</v>
      </c>
      <c r="G11" s="85"/>
      <c r="H11" s="49"/>
      <c r="I11" s="77" t="str">
        <f>Rentroll!A5</f>
        <v>Teta</v>
      </c>
      <c r="J11" s="78">
        <f>Rentroll!C5</f>
        <v>250</v>
      </c>
      <c r="K11" s="78" t="str">
        <f>Rentroll!B5</f>
        <v>full fit-out</v>
      </c>
      <c r="L11" s="79">
        <f>Rentroll!F5</f>
        <v>332.5</v>
      </c>
      <c r="M11" s="79">
        <f>Rentroll!I5</f>
        <v>37.5</v>
      </c>
      <c r="N11" s="80">
        <f t="shared" si="0"/>
        <v>83125</v>
      </c>
      <c r="O11" s="49"/>
      <c r="P11" s="49"/>
      <c r="Q11" s="87" t="s">
        <v>88</v>
      </c>
      <c r="R11" s="82">
        <v>0</v>
      </c>
      <c r="S11" s="49"/>
      <c r="T11" s="49"/>
      <c r="U11" s="49"/>
      <c r="V11" s="49"/>
      <c r="W11" s="49"/>
      <c r="X11" s="49"/>
      <c r="Y11" s="49"/>
      <c r="Z11" s="49"/>
      <c r="AA11" s="49"/>
    </row>
    <row r="12" spans="1:27" ht="18" customHeight="1">
      <c r="B12" s="3"/>
      <c r="C12" s="3"/>
      <c r="D12" s="59"/>
      <c r="E12" s="61"/>
      <c r="F12" s="60"/>
      <c r="G12" s="91"/>
      <c r="H12" s="49"/>
      <c r="I12" s="77" t="str">
        <f>Rentroll!A6</f>
        <v>Sinsay</v>
      </c>
      <c r="J12" s="78">
        <f>Rentroll!C6</f>
        <v>550</v>
      </c>
      <c r="K12" s="78" t="str">
        <f>Rentroll!B6</f>
        <v>shell and core</v>
      </c>
      <c r="L12" s="79">
        <f>Rentroll!F6</f>
        <v>237.5</v>
      </c>
      <c r="M12" s="79">
        <f>Rentroll!I6</f>
        <v>37.5</v>
      </c>
      <c r="N12" s="80">
        <f t="shared" si="0"/>
        <v>130625</v>
      </c>
      <c r="O12" s="49"/>
      <c r="P12" s="49"/>
      <c r="Q12" s="87" t="s">
        <v>90</v>
      </c>
      <c r="R12" s="88">
        <v>3</v>
      </c>
      <c r="S12" s="49"/>
      <c r="T12" s="49"/>
      <c r="U12" s="49"/>
      <c r="V12" s="49"/>
      <c r="W12" s="49"/>
      <c r="X12" s="49"/>
      <c r="Y12" s="49"/>
      <c r="Z12" s="49"/>
      <c r="AA12" s="49"/>
    </row>
    <row r="13" spans="1:27" ht="18" customHeight="1">
      <c r="A13" s="50" t="s">
        <v>98</v>
      </c>
      <c r="B13" s="565" t="s">
        <v>471</v>
      </c>
      <c r="C13" s="595"/>
      <c r="D13" s="595"/>
      <c r="E13" s="595"/>
      <c r="F13" s="596"/>
      <c r="G13" s="95"/>
      <c r="H13" s="49"/>
      <c r="I13" s="77" t="str">
        <f>Rentroll!A7</f>
        <v>Pepco</v>
      </c>
      <c r="J13" s="78">
        <f>Rentroll!C7</f>
        <v>449</v>
      </c>
      <c r="K13" s="78" t="str">
        <f>Rentroll!B7</f>
        <v>full fit-out</v>
      </c>
      <c r="L13" s="79">
        <f>Rentroll!F7</f>
        <v>308.75</v>
      </c>
      <c r="M13" s="79">
        <f>Rentroll!I7</f>
        <v>45</v>
      </c>
      <c r="N13" s="80">
        <f t="shared" si="0"/>
        <v>138628.75</v>
      </c>
      <c r="O13" s="49"/>
      <c r="P13" s="49"/>
      <c r="Q13" s="77" t="s">
        <v>92</v>
      </c>
      <c r="R13" s="86">
        <v>3</v>
      </c>
      <c r="S13" s="49"/>
      <c r="T13" s="49"/>
      <c r="U13" s="49"/>
      <c r="V13" s="49"/>
      <c r="W13" s="49"/>
      <c r="X13" s="49"/>
      <c r="Y13" s="49"/>
      <c r="Z13" s="49"/>
      <c r="AA13" s="49"/>
    </row>
    <row r="14" spans="1:27" ht="18" customHeight="1">
      <c r="A14" s="50"/>
      <c r="B14" s="100"/>
      <c r="C14" s="101" t="s">
        <v>78</v>
      </c>
      <c r="D14" s="66" t="s">
        <v>99</v>
      </c>
      <c r="E14" s="101" t="s">
        <v>100</v>
      </c>
      <c r="F14" s="102"/>
      <c r="G14" s="95"/>
      <c r="H14" s="49"/>
      <c r="I14" s="77" t="str">
        <f>Rentroll!A8</f>
        <v>Valmont/Traficon</v>
      </c>
      <c r="J14" s="78">
        <f>Rentroll!C8</f>
        <v>55</v>
      </c>
      <c r="K14" s="78" t="str">
        <f>Rentroll!B8</f>
        <v>full fit-out</v>
      </c>
      <c r="L14" s="79">
        <f>Rentroll!F8</f>
        <v>625</v>
      </c>
      <c r="M14" s="79">
        <f>Rentroll!I8</f>
        <v>45</v>
      </c>
      <c r="N14" s="80">
        <f t="shared" si="0"/>
        <v>34375</v>
      </c>
      <c r="O14" s="49"/>
      <c r="P14" s="49"/>
      <c r="Q14" s="77" t="s">
        <v>93</v>
      </c>
      <c r="R14" s="86">
        <v>9</v>
      </c>
      <c r="S14" s="49"/>
      <c r="T14" s="49"/>
      <c r="U14" s="49"/>
      <c r="V14" s="49"/>
      <c r="W14" s="49"/>
      <c r="X14" s="49"/>
      <c r="Y14" s="49"/>
      <c r="Z14" s="49"/>
      <c r="AA14" s="49"/>
    </row>
    <row r="15" spans="1:27" ht="18" customHeight="1">
      <c r="A15" s="50"/>
      <c r="B15" s="163" t="s">
        <v>117</v>
      </c>
      <c r="C15" s="105">
        <v>1</v>
      </c>
      <c r="D15" s="106" t="s">
        <v>87</v>
      </c>
      <c r="E15" s="74">
        <v>20000</v>
      </c>
      <c r="F15" s="75">
        <f>(E15*J17)</f>
        <v>77040000</v>
      </c>
      <c r="G15" s="95"/>
      <c r="H15" s="49"/>
      <c r="I15" s="77" t="str">
        <f>Rentroll!A9</f>
        <v>Bistro</v>
      </c>
      <c r="J15" s="78">
        <f>Rentroll!C9</f>
        <v>180</v>
      </c>
      <c r="K15" s="78" t="str">
        <f>Rentroll!B9</f>
        <v>full fit-out</v>
      </c>
      <c r="L15" s="79">
        <f>Rentroll!F9</f>
        <v>450</v>
      </c>
      <c r="M15" s="79">
        <f>Rentroll!I9</f>
        <v>45</v>
      </c>
      <c r="N15" s="80">
        <f t="shared" si="0"/>
        <v>81000</v>
      </c>
      <c r="O15" s="49"/>
      <c r="P15" s="49"/>
      <c r="Q15" s="409"/>
      <c r="R15" s="410"/>
      <c r="S15" s="49"/>
      <c r="T15" s="49"/>
      <c r="U15" s="49"/>
      <c r="V15" s="49"/>
      <c r="W15" s="49"/>
      <c r="X15" s="49"/>
      <c r="Y15" s="49"/>
      <c r="Z15" s="49"/>
      <c r="AA15" s="49"/>
    </row>
    <row r="16" spans="1:27" ht="18" customHeight="1">
      <c r="A16" s="50"/>
      <c r="B16" s="411" t="s">
        <v>472</v>
      </c>
      <c r="C16" s="105">
        <v>1</v>
      </c>
      <c r="D16" s="106" t="s">
        <v>87</v>
      </c>
      <c r="E16" s="74">
        <v>10000</v>
      </c>
      <c r="F16" s="412">
        <f>SUMIF(K8:K15,"full fit-out",J8:J15)*E16</f>
        <v>16370000</v>
      </c>
      <c r="G16" s="95"/>
      <c r="H16" s="49"/>
      <c r="I16" s="77" t="str">
        <f>Rentroll!A10</f>
        <v>Zbytek 1</v>
      </c>
      <c r="J16" s="78">
        <f>Rentroll!C10</f>
        <v>233</v>
      </c>
      <c r="K16" s="78" t="str">
        <f>Rentroll!B10</f>
        <v>full fit-out</v>
      </c>
      <c r="L16" s="79">
        <f>Rentroll!F10</f>
        <v>250</v>
      </c>
      <c r="M16" s="79">
        <f>Rentroll!I10</f>
        <v>37.5</v>
      </c>
      <c r="N16" s="80">
        <f t="shared" si="0"/>
        <v>58250</v>
      </c>
      <c r="O16" s="49"/>
      <c r="P16" s="49"/>
      <c r="Q16" s="92" t="s">
        <v>94</v>
      </c>
      <c r="R16" s="93">
        <v>3</v>
      </c>
      <c r="S16" s="49"/>
      <c r="T16" s="49"/>
      <c r="U16" s="49"/>
      <c r="V16" s="49"/>
      <c r="W16" s="49"/>
      <c r="X16" s="49"/>
      <c r="Y16" s="49"/>
      <c r="Z16" s="49"/>
      <c r="AA16" s="49"/>
    </row>
    <row r="17" spans="1:27" ht="18" customHeight="1">
      <c r="A17" s="50"/>
      <c r="B17" s="411" t="s">
        <v>119</v>
      </c>
      <c r="C17" s="105">
        <v>1</v>
      </c>
      <c r="D17" s="155" t="s">
        <v>87</v>
      </c>
      <c r="E17" s="74">
        <v>1500</v>
      </c>
      <c r="F17" s="412">
        <f>D8*E17</f>
        <v>9648000</v>
      </c>
      <c r="G17" s="95"/>
      <c r="H17" s="49"/>
      <c r="I17" s="110" t="s">
        <v>101</v>
      </c>
      <c r="J17" s="413">
        <f>SUM(J8:J16)</f>
        <v>3852</v>
      </c>
      <c r="K17" s="413" t="s">
        <v>102</v>
      </c>
      <c r="L17" s="414">
        <f t="shared" ref="L17:M17" si="1">SUM(L8:L16)</f>
        <v>3166</v>
      </c>
      <c r="M17" s="415">
        <f t="shared" si="1"/>
        <v>375.5</v>
      </c>
      <c r="N17" s="416"/>
      <c r="O17" s="49"/>
      <c r="P17" s="49"/>
      <c r="Q17" s="96" t="s">
        <v>96</v>
      </c>
      <c r="R17" s="97">
        <f>SUM(R7:R16)</f>
        <v>24</v>
      </c>
      <c r="S17" s="49"/>
      <c r="T17" s="49"/>
      <c r="U17" s="49"/>
      <c r="V17" s="49"/>
      <c r="W17" s="49"/>
      <c r="X17" s="49"/>
      <c r="Y17" s="49"/>
      <c r="Z17" s="49"/>
      <c r="AA17" s="49"/>
    </row>
    <row r="18" spans="1:27" ht="18" customHeight="1">
      <c r="B18" s="411" t="s">
        <v>121</v>
      </c>
      <c r="C18" s="417">
        <v>1</v>
      </c>
      <c r="D18" s="155" t="s">
        <v>87</v>
      </c>
      <c r="E18" s="418">
        <v>600</v>
      </c>
      <c r="F18" s="412">
        <f>D8*E18</f>
        <v>3859200</v>
      </c>
      <c r="G18" s="109"/>
      <c r="H18" s="49"/>
      <c r="I18" s="116" t="s">
        <v>104</v>
      </c>
      <c r="J18" s="592">
        <f>SUM(N8:N16)*12</f>
        <v>13224945</v>
      </c>
      <c r="K18" s="601"/>
      <c r="L18" s="601"/>
      <c r="M18" s="601"/>
      <c r="N18" s="59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</row>
    <row r="19" spans="1:27" ht="18" customHeight="1">
      <c r="A19" s="50"/>
      <c r="B19" s="411" t="s">
        <v>473</v>
      </c>
      <c r="C19" s="417">
        <v>1</v>
      </c>
      <c r="D19" s="155" t="s">
        <v>87</v>
      </c>
      <c r="E19" s="418"/>
      <c r="F19" s="412">
        <f t="shared" ref="F19:F21" si="2">E19</f>
        <v>0</v>
      </c>
      <c r="G19" s="76"/>
      <c r="H19" s="49"/>
      <c r="I19" s="419" t="s">
        <v>474</v>
      </c>
      <c r="J19" s="540"/>
      <c r="K19" s="540"/>
      <c r="L19" s="540">
        <v>15</v>
      </c>
      <c r="M19" s="540"/>
      <c r="N19" s="420">
        <f>-L19*D8*12</f>
        <v>-1157760</v>
      </c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</row>
    <row r="20" spans="1:27" ht="18" customHeight="1">
      <c r="A20" s="50"/>
      <c r="B20" s="411" t="s">
        <v>475</v>
      </c>
      <c r="C20" s="417">
        <v>1</v>
      </c>
      <c r="D20" s="155" t="s">
        <v>87</v>
      </c>
      <c r="E20" s="418">
        <v>2000000</v>
      </c>
      <c r="F20" s="412">
        <f t="shared" si="2"/>
        <v>2000000</v>
      </c>
      <c r="G20" s="109"/>
      <c r="H20" s="49"/>
      <c r="I20" s="117" t="s">
        <v>106</v>
      </c>
      <c r="J20" s="421"/>
      <c r="K20" s="421" t="s">
        <v>476</v>
      </c>
      <c r="L20" s="422"/>
      <c r="M20" s="423"/>
      <c r="N20" s="424">
        <f>(J18+N19)/C47</f>
        <v>8.6622710695523783E-2</v>
      </c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</row>
    <row r="21" spans="1:27" ht="18" customHeight="1">
      <c r="A21" s="50"/>
      <c r="B21" s="411" t="s">
        <v>477</v>
      </c>
      <c r="C21" s="417">
        <v>1</v>
      </c>
      <c r="D21" s="155" t="s">
        <v>87</v>
      </c>
      <c r="E21" s="418">
        <v>1000000</v>
      </c>
      <c r="F21" s="412">
        <f t="shared" si="2"/>
        <v>1000000</v>
      </c>
      <c r="G21" s="123"/>
      <c r="H21" s="49"/>
      <c r="I21" s="124" t="s">
        <v>108</v>
      </c>
      <c r="J21" s="118"/>
      <c r="K21" s="125"/>
      <c r="L21" s="125"/>
      <c r="M21" s="126">
        <v>0.06</v>
      </c>
      <c r="N21" s="127">
        <f>N20/M21</f>
        <v>1.4437118449253965</v>
      </c>
      <c r="O21" s="49"/>
      <c r="P21" s="49"/>
      <c r="Q21" s="566" t="s">
        <v>478</v>
      </c>
      <c r="R21" s="596"/>
      <c r="S21" s="49"/>
      <c r="T21" s="49"/>
      <c r="U21" s="49"/>
      <c r="V21" s="49"/>
      <c r="W21" s="49"/>
      <c r="X21" s="49"/>
      <c r="Y21" s="49"/>
      <c r="Z21" s="49"/>
      <c r="AA21" s="49"/>
    </row>
    <row r="22" spans="1:27" ht="18" customHeight="1">
      <c r="B22" s="425" t="s">
        <v>479</v>
      </c>
      <c r="C22" s="426">
        <v>1</v>
      </c>
      <c r="D22" s="106" t="s">
        <v>91</v>
      </c>
      <c r="E22" s="427">
        <v>0.05</v>
      </c>
      <c r="F22" s="428">
        <f>SUM(F15:F17)*E22</f>
        <v>5152900</v>
      </c>
      <c r="G22" s="123"/>
      <c r="H22" s="49"/>
      <c r="I22" s="103" t="s">
        <v>109</v>
      </c>
      <c r="J22" s="125"/>
      <c r="K22" s="125"/>
      <c r="L22" s="125"/>
      <c r="M22" s="429">
        <v>15</v>
      </c>
      <c r="N22" s="130">
        <f>J17*M22*12</f>
        <v>693360</v>
      </c>
      <c r="O22" s="131"/>
      <c r="P22" s="49"/>
      <c r="Q22" s="430" t="s">
        <v>480</v>
      </c>
      <c r="R22" s="147">
        <v>0.255</v>
      </c>
      <c r="S22" s="49"/>
      <c r="T22" s="49"/>
      <c r="U22" s="49"/>
      <c r="V22" s="49"/>
      <c r="W22" s="49"/>
      <c r="X22" s="49"/>
      <c r="Y22" s="49"/>
      <c r="Z22" s="49"/>
      <c r="AA22" s="49"/>
    </row>
    <row r="23" spans="1:27" ht="18" customHeight="1">
      <c r="A23" s="50"/>
      <c r="B23" s="94" t="s">
        <v>95</v>
      </c>
      <c r="C23" s="555">
        <f>SUM(F15:F22)</f>
        <v>115070100</v>
      </c>
      <c r="D23" s="595"/>
      <c r="E23" s="595"/>
      <c r="F23" s="596"/>
      <c r="G23" s="123"/>
      <c r="H23" s="49"/>
      <c r="I23" s="133" t="s">
        <v>481</v>
      </c>
      <c r="J23" s="125"/>
      <c r="K23" s="125"/>
      <c r="L23" s="134"/>
      <c r="M23" s="135"/>
      <c r="N23" s="180">
        <f>(Rentroll!L13-N22+N19)/C47</f>
        <v>9.9825756192338855E-2</v>
      </c>
      <c r="O23" s="49"/>
      <c r="P23" s="49"/>
      <c r="Q23" s="103" t="s">
        <v>482</v>
      </c>
      <c r="R23" s="164">
        <f>R22*(C23+C44)</f>
        <v>35322632.570130005</v>
      </c>
      <c r="S23" s="49"/>
      <c r="T23" s="49"/>
      <c r="U23" s="49"/>
      <c r="V23" s="49"/>
      <c r="W23" s="49"/>
      <c r="X23" s="49"/>
      <c r="Y23" s="49"/>
      <c r="Z23" s="49"/>
      <c r="AA23" s="49"/>
    </row>
    <row r="24" spans="1:27" ht="18" customHeight="1">
      <c r="B24" s="98" t="s">
        <v>97</v>
      </c>
      <c r="C24" s="176"/>
      <c r="D24" s="176"/>
      <c r="E24" s="176"/>
      <c r="F24" s="431">
        <f>C23/J17</f>
        <v>29872.819314641743</v>
      </c>
      <c r="G24" s="123"/>
      <c r="H24" s="49"/>
      <c r="I24" s="136" t="s">
        <v>111</v>
      </c>
      <c r="J24" s="137"/>
      <c r="K24" s="137"/>
      <c r="L24" s="138"/>
      <c r="M24" s="139"/>
      <c r="N24" s="140">
        <v>7.1999999999999995E-2</v>
      </c>
      <c r="O24" s="49"/>
      <c r="P24" s="49"/>
      <c r="Q24" s="152" t="s">
        <v>483</v>
      </c>
      <c r="R24" s="128">
        <f>J26-R23-C23-C44+N25</f>
        <v>-8930745.4078266509</v>
      </c>
      <c r="S24" s="49"/>
      <c r="T24" s="49"/>
      <c r="U24" s="49"/>
      <c r="V24" s="49"/>
      <c r="W24" s="49"/>
      <c r="X24" s="49"/>
      <c r="Y24" s="49"/>
      <c r="Z24" s="49"/>
      <c r="AA24" s="49"/>
    </row>
    <row r="25" spans="1:27" ht="18" customHeight="1">
      <c r="B25" s="49"/>
      <c r="C25" s="58"/>
      <c r="D25" s="59"/>
      <c r="E25" s="61"/>
      <c r="F25" s="60"/>
      <c r="G25" s="123"/>
      <c r="H25" s="49"/>
      <c r="I25" s="141" t="s">
        <v>115</v>
      </c>
      <c r="J25" s="142"/>
      <c r="K25" s="142"/>
      <c r="L25" s="143"/>
      <c r="M25" s="144">
        <v>0.5</v>
      </c>
      <c r="N25" s="432">
        <f>(J26-C47)*0.19*-M25</f>
        <v>-2687776.7783633331</v>
      </c>
      <c r="O25" s="49"/>
      <c r="P25" s="49"/>
      <c r="Q25" s="153" t="s">
        <v>484</v>
      </c>
      <c r="R25" s="132">
        <f>R24-F39</f>
        <v>-8942554.5598266516</v>
      </c>
      <c r="S25" s="49"/>
      <c r="T25" s="49"/>
      <c r="U25" s="49"/>
      <c r="V25" s="49"/>
      <c r="W25" s="49"/>
      <c r="X25" s="49"/>
      <c r="Y25" s="49"/>
      <c r="Z25" s="49"/>
      <c r="AA25" s="49"/>
    </row>
    <row r="26" spans="1:27" ht="29.25" customHeight="1">
      <c r="A26" s="50" t="s">
        <v>112</v>
      </c>
      <c r="B26" s="565" t="s">
        <v>485</v>
      </c>
      <c r="C26" s="595"/>
      <c r="D26" s="595"/>
      <c r="E26" s="595"/>
      <c r="F26" s="596"/>
      <c r="G26" s="123"/>
      <c r="H26" s="49"/>
      <c r="I26" s="151" t="s">
        <v>486</v>
      </c>
      <c r="J26" s="561">
        <f>(J18+N19)/N24</f>
        <v>167599791.66666669</v>
      </c>
      <c r="K26" s="595"/>
      <c r="L26" s="595"/>
      <c r="M26" s="595"/>
      <c r="N26" s="596"/>
      <c r="O26" s="49"/>
      <c r="P26" s="49"/>
      <c r="S26" s="49"/>
      <c r="T26" s="49"/>
      <c r="U26" s="49"/>
      <c r="V26" s="49"/>
      <c r="W26" s="49"/>
      <c r="X26" s="49"/>
      <c r="Y26" s="49"/>
      <c r="Z26" s="49"/>
      <c r="AA26" s="49"/>
    </row>
    <row r="27" spans="1:27" ht="18" customHeight="1">
      <c r="A27" s="50"/>
      <c r="B27" s="433"/>
      <c r="C27" s="434" t="s">
        <v>78</v>
      </c>
      <c r="D27" s="435" t="s">
        <v>99</v>
      </c>
      <c r="E27" s="436" t="s">
        <v>487</v>
      </c>
      <c r="F27" s="437"/>
      <c r="G27" s="123"/>
      <c r="H27" s="49"/>
      <c r="I27" s="49"/>
      <c r="J27" s="58"/>
      <c r="K27" s="58"/>
      <c r="L27" s="59"/>
      <c r="M27" s="61"/>
      <c r="N27" s="60"/>
      <c r="O27" s="49"/>
      <c r="P27" s="49"/>
      <c r="Q27" s="566" t="s">
        <v>488</v>
      </c>
      <c r="R27" s="596"/>
      <c r="S27" s="49"/>
      <c r="T27" s="49"/>
      <c r="U27" s="49"/>
      <c r="V27" s="49"/>
      <c r="W27" s="49"/>
      <c r="X27" s="49"/>
      <c r="Y27" s="49"/>
      <c r="Z27" s="49"/>
      <c r="AA27" s="49"/>
    </row>
    <row r="28" spans="1:27" ht="27" customHeight="1">
      <c r="A28" s="50"/>
      <c r="B28" s="438" t="s">
        <v>489</v>
      </c>
      <c r="C28" s="439">
        <v>1</v>
      </c>
      <c r="D28" s="440" t="s">
        <v>87</v>
      </c>
      <c r="E28" s="162">
        <v>0.05</v>
      </c>
      <c r="F28" s="437">
        <f t="shared" ref="F28:F30" si="3">E28*$C$23</f>
        <v>5753505</v>
      </c>
      <c r="G28" s="123"/>
      <c r="H28" s="49"/>
      <c r="I28" s="157"/>
      <c r="J28" s="158"/>
      <c r="K28" s="158"/>
      <c r="L28" s="158"/>
      <c r="M28" s="158"/>
      <c r="N28" s="159"/>
      <c r="O28" s="49"/>
      <c r="P28" s="49"/>
      <c r="Q28" s="430" t="str">
        <f>B8</f>
        <v>Pozemek</v>
      </c>
      <c r="R28" s="160">
        <f>C10</f>
        <v>787276.80000000005</v>
      </c>
      <c r="S28" s="49"/>
      <c r="T28" s="49"/>
      <c r="U28" s="49"/>
      <c r="V28" s="49"/>
      <c r="W28" s="49"/>
      <c r="X28" s="49"/>
      <c r="Y28" s="49"/>
      <c r="Z28" s="49"/>
      <c r="AA28" s="49"/>
    </row>
    <row r="29" spans="1:27" ht="27" customHeight="1">
      <c r="A29" s="50"/>
      <c r="B29" s="438" t="s">
        <v>490</v>
      </c>
      <c r="C29" s="439">
        <v>1</v>
      </c>
      <c r="D29" s="440" t="s">
        <v>87</v>
      </c>
      <c r="E29" s="162">
        <v>0.03</v>
      </c>
      <c r="F29" s="437">
        <f t="shared" si="3"/>
        <v>3452103</v>
      </c>
      <c r="G29" s="123"/>
      <c r="H29" s="49"/>
      <c r="I29" s="441" t="s">
        <v>124</v>
      </c>
      <c r="J29" s="494"/>
      <c r="K29" s="494"/>
      <c r="L29" s="494"/>
      <c r="M29" s="557">
        <f>J26-C47+N25</f>
        <v>25604610.362303331</v>
      </c>
      <c r="N29" s="599"/>
      <c r="O29" s="49"/>
      <c r="P29" s="49"/>
      <c r="Q29" s="103" t="s">
        <v>125</v>
      </c>
      <c r="R29" s="164">
        <f>M29*25%</f>
        <v>6401152.5905758329</v>
      </c>
      <c r="S29" s="49"/>
      <c r="T29" s="49"/>
      <c r="U29" s="49"/>
      <c r="V29" s="49"/>
      <c r="W29" s="49"/>
      <c r="X29" s="49"/>
      <c r="Y29" s="49"/>
      <c r="Z29" s="49"/>
      <c r="AA29" s="49"/>
    </row>
    <row r="30" spans="1:27" ht="18" customHeight="1">
      <c r="A30" s="50"/>
      <c r="B30" s="438" t="s">
        <v>491</v>
      </c>
      <c r="C30" s="442">
        <v>1</v>
      </c>
      <c r="D30" s="439" t="s">
        <v>87</v>
      </c>
      <c r="E30" s="162">
        <f>0.7%</f>
        <v>6.9999999999999993E-3</v>
      </c>
      <c r="F30" s="437">
        <f t="shared" si="3"/>
        <v>805490.7</v>
      </c>
      <c r="G30" s="123"/>
      <c r="H30" s="49"/>
      <c r="I30" s="441"/>
      <c r="J30" s="494"/>
      <c r="K30" s="494"/>
      <c r="L30" s="494"/>
      <c r="M30" s="601"/>
      <c r="N30" s="599"/>
      <c r="O30" s="49"/>
      <c r="P30" s="49"/>
      <c r="Q30" s="152" t="str">
        <f>B28</f>
        <v>Architekt, projektant</v>
      </c>
      <c r="R30" s="128">
        <f>F28</f>
        <v>5753505</v>
      </c>
      <c r="S30" s="49"/>
      <c r="T30" s="49"/>
      <c r="U30" s="49"/>
      <c r="V30" s="49"/>
      <c r="W30" s="49"/>
      <c r="X30" s="49"/>
      <c r="Y30" s="49"/>
      <c r="Z30" s="49"/>
      <c r="AA30" s="49"/>
    </row>
    <row r="31" spans="1:27" ht="18" customHeight="1">
      <c r="A31" s="50"/>
      <c r="B31" s="438" t="s">
        <v>277</v>
      </c>
      <c r="C31" s="439">
        <v>1</v>
      </c>
      <c r="D31" s="439" t="s">
        <v>492</v>
      </c>
      <c r="E31" s="162">
        <v>0.15</v>
      </c>
      <c r="F31" s="437">
        <f>E31*$J$18</f>
        <v>1983741.75</v>
      </c>
      <c r="G31" s="123"/>
      <c r="H31" s="49"/>
      <c r="I31" s="165" t="s">
        <v>125</v>
      </c>
      <c r="J31" s="166"/>
      <c r="K31" s="166"/>
      <c r="L31" s="166"/>
      <c r="M31" s="166"/>
      <c r="N31" s="496">
        <f>M29/J26</f>
        <v>0.15277232810185967</v>
      </c>
      <c r="O31" s="49"/>
      <c r="P31" s="49"/>
      <c r="Q31" s="153" t="s">
        <v>484</v>
      </c>
      <c r="R31" s="132">
        <f>SUM(R28:R30)</f>
        <v>12941934.390575834</v>
      </c>
      <c r="S31" s="49"/>
      <c r="T31" s="49"/>
      <c r="U31" s="49"/>
      <c r="V31" s="49"/>
      <c r="W31" s="49"/>
      <c r="X31" s="49"/>
      <c r="Y31" s="49"/>
      <c r="Z31" s="49"/>
      <c r="AA31" s="49"/>
    </row>
    <row r="32" spans="1:27" ht="18" customHeight="1">
      <c r="A32" s="50"/>
      <c r="B32" s="438" t="s">
        <v>113</v>
      </c>
      <c r="C32" s="439">
        <v>1</v>
      </c>
      <c r="D32" s="439" t="s">
        <v>492</v>
      </c>
      <c r="E32" s="162">
        <v>0.01</v>
      </c>
      <c r="F32" s="437">
        <f>E32*$J$26</f>
        <v>1675997.916666667</v>
      </c>
      <c r="G32" s="123"/>
      <c r="H32" s="49"/>
      <c r="I32" s="165" t="s">
        <v>126</v>
      </c>
      <c r="J32" s="166"/>
      <c r="K32" s="167" t="s">
        <v>493</v>
      </c>
      <c r="L32" s="166"/>
      <c r="M32" s="166"/>
      <c r="N32" s="496">
        <f>M29/C47</f>
        <v>0.18379934971456988</v>
      </c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</row>
    <row r="33" spans="1:27" ht="18" customHeight="1">
      <c r="A33" s="50"/>
      <c r="B33" s="438" t="s">
        <v>494</v>
      </c>
      <c r="C33" s="439">
        <v>1</v>
      </c>
      <c r="D33" s="439" t="s">
        <v>492</v>
      </c>
      <c r="E33" s="162">
        <f>0.5%</f>
        <v>5.0000000000000001E-3</v>
      </c>
      <c r="F33" s="437">
        <f t="shared" ref="F33:F38" si="4">E33*$C$23</f>
        <v>575350.5</v>
      </c>
      <c r="G33" s="60"/>
      <c r="H33" s="156"/>
      <c r="I33" s="168" t="s">
        <v>128</v>
      </c>
      <c r="J33" s="169"/>
      <c r="K33" s="169"/>
      <c r="L33" s="169"/>
      <c r="M33" s="169"/>
      <c r="N33" s="498">
        <f>M29/(C47*E41)</f>
        <v>0.52514099918448531</v>
      </c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</row>
    <row r="34" spans="1:27" ht="18" customHeight="1">
      <c r="A34" s="50"/>
      <c r="B34" s="438" t="s">
        <v>495</v>
      </c>
      <c r="C34" s="439">
        <v>1</v>
      </c>
      <c r="D34" s="439" t="s">
        <v>492</v>
      </c>
      <c r="E34" s="162">
        <f>0.2%</f>
        <v>2E-3</v>
      </c>
      <c r="F34" s="437">
        <f t="shared" si="4"/>
        <v>230140.2</v>
      </c>
      <c r="G34" s="60"/>
      <c r="H34" s="156"/>
      <c r="I34" s="49"/>
      <c r="J34" s="58"/>
      <c r="K34" s="58"/>
      <c r="L34" s="59"/>
      <c r="M34" s="61"/>
      <c r="N34" s="60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</row>
    <row r="35" spans="1:27" ht="24.75" customHeight="1">
      <c r="A35" s="50"/>
      <c r="B35" s="438" t="s">
        <v>496</v>
      </c>
      <c r="C35" s="442">
        <v>1</v>
      </c>
      <c r="D35" s="439" t="s">
        <v>87</v>
      </c>
      <c r="E35" s="162">
        <v>0</v>
      </c>
      <c r="F35" s="437">
        <f t="shared" si="4"/>
        <v>0</v>
      </c>
      <c r="G35" s="60"/>
      <c r="H35" s="156"/>
      <c r="I35" s="49"/>
      <c r="J35" s="58"/>
      <c r="K35" s="58"/>
      <c r="L35" s="59"/>
      <c r="M35" s="61"/>
      <c r="N35" s="60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</row>
    <row r="36" spans="1:27" ht="18" customHeight="1">
      <c r="A36" s="50"/>
      <c r="B36" s="438" t="s">
        <v>497</v>
      </c>
      <c r="C36" s="442">
        <v>1</v>
      </c>
      <c r="D36" s="439" t="s">
        <v>87</v>
      </c>
      <c r="E36" s="162">
        <v>0</v>
      </c>
      <c r="F36" s="437">
        <f t="shared" si="4"/>
        <v>0</v>
      </c>
      <c r="G36" s="60"/>
      <c r="H36" s="49"/>
      <c r="I36" s="171"/>
      <c r="J36" s="49"/>
      <c r="K36" s="49"/>
      <c r="L36" s="49"/>
      <c r="M36" s="49"/>
      <c r="N36" s="172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</row>
    <row r="37" spans="1:27" ht="18" customHeight="1">
      <c r="A37" s="50"/>
      <c r="B37" s="438" t="s">
        <v>498</v>
      </c>
      <c r="C37" s="442">
        <v>1</v>
      </c>
      <c r="D37" s="439" t="s">
        <v>87</v>
      </c>
      <c r="E37" s="162">
        <f>0.1%</f>
        <v>1E-3</v>
      </c>
      <c r="F37" s="437">
        <f t="shared" si="4"/>
        <v>115070.1</v>
      </c>
      <c r="G37" s="60"/>
      <c r="H37" s="49"/>
      <c r="I37" s="443"/>
      <c r="J37" s="49"/>
      <c r="K37" s="49"/>
      <c r="L37" s="171"/>
      <c r="M37" s="171"/>
      <c r="N37" s="172"/>
      <c r="O37" s="49"/>
      <c r="P37" s="49"/>
      <c r="Q37" s="565" t="s">
        <v>499</v>
      </c>
      <c r="R37" s="596"/>
      <c r="S37" s="49"/>
      <c r="T37" s="49"/>
      <c r="U37" s="49"/>
      <c r="V37" s="49"/>
      <c r="W37" s="49"/>
      <c r="X37" s="49"/>
      <c r="Y37" s="49"/>
      <c r="Z37" s="49"/>
      <c r="AA37" s="49"/>
    </row>
    <row r="38" spans="1:27" ht="18" customHeight="1">
      <c r="A38" s="50"/>
      <c r="B38" s="438" t="s">
        <v>500</v>
      </c>
      <c r="C38" s="442">
        <v>1</v>
      </c>
      <c r="D38" s="439" t="s">
        <v>87</v>
      </c>
      <c r="E38" s="162">
        <f>0.3%</f>
        <v>3.0000000000000001E-3</v>
      </c>
      <c r="F38" s="437">
        <f t="shared" si="4"/>
        <v>345210.3</v>
      </c>
      <c r="G38" s="60"/>
      <c r="H38" s="49"/>
      <c r="I38" s="443"/>
      <c r="J38" s="49"/>
      <c r="K38" s="49"/>
      <c r="L38" s="49"/>
      <c r="M38" s="49"/>
      <c r="N38" s="444"/>
      <c r="O38" s="49"/>
      <c r="P38" s="49"/>
      <c r="Q38" s="174" t="s">
        <v>501</v>
      </c>
      <c r="R38" s="175" t="s">
        <v>502</v>
      </c>
      <c r="S38" s="49"/>
      <c r="T38" s="49"/>
      <c r="U38" s="49"/>
      <c r="V38" s="49"/>
      <c r="W38" s="49"/>
      <c r="X38" s="49"/>
      <c r="Y38" s="49"/>
      <c r="Z38" s="49"/>
      <c r="AA38" s="49"/>
    </row>
    <row r="39" spans="1:27" ht="18" customHeight="1">
      <c r="A39" s="50"/>
      <c r="B39" s="541" t="s">
        <v>503</v>
      </c>
      <c r="C39" s="445">
        <v>0.15</v>
      </c>
      <c r="D39" s="439" t="s">
        <v>196</v>
      </c>
      <c r="E39" s="446">
        <v>0.1</v>
      </c>
      <c r="F39" s="437">
        <f>((C10*E39)*C39/12)*SUM(R7:R13)</f>
        <v>11809.152</v>
      </c>
      <c r="G39" s="60"/>
      <c r="H39" s="49"/>
      <c r="I39" s="447"/>
      <c r="J39" s="49"/>
      <c r="K39" s="49"/>
      <c r="L39" s="49"/>
      <c r="M39" s="98"/>
      <c r="N39" s="448"/>
      <c r="O39" s="49"/>
      <c r="P39" s="49"/>
      <c r="Q39" s="177">
        <f t="shared" ref="Q39:Q42" si="5">IF((($J$18+$N$19)/R39-$C$47+$N$24)&gt;0,($J$18/R39-$C$47+$N$24),0)</f>
        <v>44372387.212666661</v>
      </c>
      <c r="R39" s="178">
        <f>N24</f>
        <v>7.1999999999999995E-2</v>
      </c>
      <c r="S39" s="49"/>
      <c r="T39" s="49"/>
      <c r="U39" s="49"/>
      <c r="V39" s="49"/>
      <c r="W39" s="49"/>
      <c r="X39" s="49"/>
      <c r="Y39" s="49"/>
      <c r="Z39" s="49"/>
      <c r="AA39" s="49"/>
    </row>
    <row r="40" spans="1:27" ht="18" customHeight="1">
      <c r="A40" s="50"/>
      <c r="B40" s="541" t="s">
        <v>504</v>
      </c>
      <c r="C40" s="445">
        <v>0.1</v>
      </c>
      <c r="D40" s="439" t="s">
        <v>196</v>
      </c>
      <c r="E40" s="446">
        <v>0.65</v>
      </c>
      <c r="F40" s="437">
        <f>((C23*E40+SUM(F28:F38)*E40)*C40/12)*SUM(R14:R16)</f>
        <v>8450436.1153333336</v>
      </c>
      <c r="G40" s="60"/>
      <c r="H40" s="49"/>
      <c r="I40" s="443"/>
      <c r="J40" s="49"/>
      <c r="K40" s="49"/>
      <c r="L40" s="49"/>
      <c r="N40" s="60"/>
      <c r="O40" s="49"/>
      <c r="P40" s="49"/>
      <c r="Q40" s="177">
        <f t="shared" si="5"/>
        <v>32445128.013532434</v>
      </c>
      <c r="R40" s="179">
        <f t="shared" ref="R40:R42" si="6">R39+0.5%</f>
        <v>7.6999999999999999E-2</v>
      </c>
      <c r="S40" s="49"/>
      <c r="T40" s="49"/>
      <c r="U40" s="49"/>
      <c r="V40" s="49"/>
      <c r="W40" s="49"/>
      <c r="X40" s="49"/>
      <c r="Y40" s="49"/>
      <c r="Z40" s="49"/>
      <c r="AA40" s="49"/>
    </row>
    <row r="41" spans="1:27" ht="18" customHeight="1">
      <c r="A41" s="50"/>
      <c r="B41" s="438" t="s">
        <v>505</v>
      </c>
      <c r="C41" s="445">
        <v>0</v>
      </c>
      <c r="D41" s="439" t="s">
        <v>196</v>
      </c>
      <c r="E41" s="446">
        <f>100%-E40</f>
        <v>0.35</v>
      </c>
      <c r="F41" s="437">
        <f>(((C23*E41+SUM(F28:F38)*E41)*C41/12)*SUM(R14:R16))</f>
        <v>0</v>
      </c>
      <c r="G41" s="60"/>
      <c r="H41" s="49"/>
      <c r="I41" s="49"/>
      <c r="J41" s="49"/>
      <c r="K41" s="49"/>
      <c r="L41" s="49"/>
      <c r="N41" s="60"/>
      <c r="O41" s="49"/>
      <c r="P41" s="49"/>
      <c r="Q41" s="177">
        <f t="shared" si="5"/>
        <v>21972412.619170699</v>
      </c>
      <c r="R41" s="180">
        <f t="shared" si="6"/>
        <v>8.2000000000000003E-2</v>
      </c>
      <c r="S41" s="49"/>
      <c r="T41" s="49"/>
      <c r="U41" s="49"/>
      <c r="V41" s="49"/>
      <c r="W41" s="49"/>
      <c r="X41" s="49"/>
      <c r="Y41" s="49"/>
      <c r="Z41" s="49"/>
      <c r="AA41" s="49"/>
    </row>
    <row r="42" spans="1:27" ht="18" customHeight="1">
      <c r="A42" s="50"/>
      <c r="B42" s="541" t="s">
        <v>506</v>
      </c>
      <c r="C42" s="445">
        <v>0.1</v>
      </c>
      <c r="D42" s="439" t="s">
        <v>196</v>
      </c>
      <c r="E42" s="446">
        <f t="shared" ref="E42:E43" si="7">E40</f>
        <v>0.65</v>
      </c>
      <c r="F42" s="437">
        <f>(((C10*E42)*C42/12)*SUM(R14:R16))</f>
        <v>51172.991999999998</v>
      </c>
      <c r="G42" s="60"/>
      <c r="H42" s="49"/>
      <c r="I42" s="49"/>
      <c r="J42" s="58"/>
      <c r="K42" s="58"/>
      <c r="L42" s="59"/>
      <c r="N42" s="60"/>
      <c r="O42" s="49"/>
      <c r="P42" s="49"/>
      <c r="Q42" s="177">
        <f t="shared" si="5"/>
        <v>0</v>
      </c>
      <c r="R42" s="542">
        <f t="shared" si="6"/>
        <v>8.7000000000000008E-2</v>
      </c>
      <c r="S42" s="49"/>
      <c r="T42" s="49"/>
      <c r="U42" s="49"/>
      <c r="V42" s="49"/>
      <c r="W42" s="49"/>
      <c r="X42" s="49"/>
      <c r="Y42" s="49"/>
      <c r="Z42" s="49"/>
      <c r="AA42" s="49"/>
    </row>
    <row r="43" spans="1:27" ht="18" customHeight="1">
      <c r="A43" s="50"/>
      <c r="B43" s="438" t="s">
        <v>507</v>
      </c>
      <c r="C43" s="445">
        <v>0</v>
      </c>
      <c r="D43" s="439" t="s">
        <v>196</v>
      </c>
      <c r="E43" s="446">
        <f t="shared" si="7"/>
        <v>0.35</v>
      </c>
      <c r="F43" s="437">
        <f>(((C10*E43)*C43/12)*SUM(R14:R16))</f>
        <v>0</v>
      </c>
      <c r="G43" s="60"/>
      <c r="H43" s="49"/>
      <c r="I43" s="49"/>
      <c r="J43" s="58"/>
      <c r="K43" s="58"/>
      <c r="L43" s="59"/>
      <c r="M43" s="98"/>
      <c r="N43" s="60"/>
      <c r="O43" s="49"/>
      <c r="P43" s="49"/>
      <c r="Q43" s="181">
        <f>($J$18+$N$19)/R43-$C$47+$N$24</f>
        <v>3.0994415228802197E-9</v>
      </c>
      <c r="R43" s="182">
        <f>(J18+N19)/($C$47-$N$24)</f>
        <v>8.6622710740294082E-2</v>
      </c>
      <c r="S43" s="49"/>
      <c r="T43" s="49"/>
      <c r="U43" s="49"/>
      <c r="V43" s="49"/>
      <c r="W43" s="49"/>
      <c r="X43" s="49"/>
      <c r="Y43" s="49"/>
      <c r="Z43" s="49"/>
      <c r="AA43" s="49"/>
    </row>
    <row r="44" spans="1:27" ht="18" customHeight="1">
      <c r="A44" s="50"/>
      <c r="B44" s="94" t="s">
        <v>95</v>
      </c>
      <c r="C44" s="555">
        <f>SUM(F28:F43)</f>
        <v>23450027.726</v>
      </c>
      <c r="D44" s="595"/>
      <c r="E44" s="595"/>
      <c r="F44" s="596"/>
      <c r="G44" s="60"/>
      <c r="H44" s="49"/>
      <c r="I44" s="49"/>
      <c r="J44" s="58"/>
      <c r="K44" s="58"/>
      <c r="L44" s="59"/>
      <c r="M44" s="61"/>
      <c r="N44" s="60"/>
      <c r="O44" s="49"/>
      <c r="P44" s="49"/>
      <c r="Q44" s="49"/>
      <c r="R44" s="58"/>
      <c r="S44" s="49"/>
      <c r="T44" s="49"/>
      <c r="U44" s="49"/>
      <c r="V44" s="49"/>
      <c r="W44" s="49"/>
      <c r="X44" s="49"/>
      <c r="Y44" s="49"/>
      <c r="Z44" s="49"/>
      <c r="AA44" s="49"/>
    </row>
    <row r="45" spans="1:27" ht="18" customHeight="1">
      <c r="A45" s="50"/>
      <c r="B45" s="449" t="s">
        <v>97</v>
      </c>
      <c r="C45" s="176"/>
      <c r="D45" s="176"/>
      <c r="E45" s="176"/>
      <c r="F45" s="431">
        <f>C44/J17</f>
        <v>6087.7538229491174</v>
      </c>
      <c r="G45" s="60"/>
      <c r="H45" s="49"/>
      <c r="I45" s="49"/>
      <c r="J45" s="58"/>
      <c r="K45" s="58"/>
      <c r="L45" s="59"/>
      <c r="M45" s="61"/>
      <c r="N45" s="60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</row>
    <row r="46" spans="1:27" ht="18" customHeight="1">
      <c r="A46" s="50"/>
      <c r="B46" s="49"/>
      <c r="C46" s="58"/>
      <c r="D46" s="59"/>
      <c r="E46" s="61"/>
      <c r="F46" s="60"/>
      <c r="G46" s="60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58"/>
      <c r="S46" s="49"/>
      <c r="T46" s="49"/>
      <c r="U46" s="49"/>
      <c r="V46" s="49"/>
      <c r="W46" s="49"/>
      <c r="X46" s="49"/>
      <c r="Y46" s="49"/>
      <c r="Z46" s="49"/>
      <c r="AA46" s="49"/>
    </row>
    <row r="47" spans="1:27" ht="18" customHeight="1">
      <c r="A47" s="50"/>
      <c r="B47" s="197" t="s">
        <v>146</v>
      </c>
      <c r="C47" s="553">
        <f>SUM(C44,C23,C10)</f>
        <v>139307404.52600002</v>
      </c>
      <c r="D47" s="595"/>
      <c r="E47" s="595"/>
      <c r="F47" s="596"/>
      <c r="G47" s="60"/>
      <c r="H47" s="49"/>
      <c r="I47" s="49"/>
      <c r="J47" s="58"/>
      <c r="K47" s="58"/>
      <c r="L47" s="591"/>
      <c r="M47" s="594"/>
      <c r="N47" s="594"/>
      <c r="O47" s="49"/>
      <c r="P47" s="49"/>
      <c r="Q47" s="565" t="s">
        <v>508</v>
      </c>
      <c r="R47" s="596"/>
      <c r="S47" s="49"/>
      <c r="T47" s="49"/>
      <c r="U47" s="49"/>
      <c r="V47" s="49"/>
      <c r="W47" s="49"/>
      <c r="X47" s="49"/>
      <c r="Y47" s="49"/>
      <c r="Z47" s="49"/>
      <c r="AA47" s="49"/>
    </row>
    <row r="48" spans="1:27" ht="18" customHeight="1">
      <c r="A48" s="50"/>
      <c r="B48" s="49"/>
      <c r="C48" s="58"/>
      <c r="D48" s="59"/>
      <c r="E48" s="61"/>
      <c r="F48" s="60"/>
      <c r="G48" s="60"/>
      <c r="H48" s="49"/>
      <c r="I48" s="49"/>
      <c r="J48" s="58"/>
      <c r="K48" s="58"/>
      <c r="L48" s="59"/>
      <c r="M48" s="61"/>
      <c r="N48" s="60"/>
      <c r="O48" s="49"/>
      <c r="P48" s="49"/>
      <c r="Q48" s="174" t="s">
        <v>501</v>
      </c>
      <c r="R48" s="175" t="s">
        <v>509</v>
      </c>
      <c r="S48" s="49"/>
      <c r="T48" s="49"/>
      <c r="U48" s="49"/>
      <c r="V48" s="49"/>
      <c r="W48" s="49"/>
      <c r="X48" s="49"/>
      <c r="Y48" s="49"/>
      <c r="Z48" s="49"/>
      <c r="AA48" s="49"/>
    </row>
    <row r="49" spans="1:27" ht="18" customHeight="1">
      <c r="A49" s="50"/>
      <c r="B49" s="198" t="s">
        <v>147</v>
      </c>
      <c r="C49" s="554">
        <f>C47/J17</f>
        <v>36164.954446002084</v>
      </c>
      <c r="D49" s="595"/>
      <c r="E49" s="595"/>
      <c r="F49" s="596"/>
      <c r="G49" s="60"/>
      <c r="H49" s="49"/>
      <c r="I49" s="49"/>
      <c r="J49" s="58"/>
      <c r="K49" s="58"/>
      <c r="L49" s="59"/>
      <c r="M49" s="61"/>
      <c r="N49" s="60"/>
      <c r="O49" s="49"/>
      <c r="P49" s="49"/>
      <c r="Q49" s="177">
        <f t="shared" ref="Q49:Q52" si="8">$J$26-$C$44-$C$10-$C$23*(1+R49)</f>
        <v>28292387.140666664</v>
      </c>
      <c r="R49" s="178">
        <v>0</v>
      </c>
      <c r="S49" s="49"/>
      <c r="T49" s="49"/>
      <c r="U49" s="49"/>
      <c r="V49" s="49"/>
      <c r="W49" s="49"/>
      <c r="X49" s="49"/>
      <c r="Y49" s="49"/>
      <c r="Z49" s="49"/>
      <c r="AA49" s="49"/>
    </row>
    <row r="50" spans="1:27" ht="18" customHeight="1">
      <c r="A50" s="50"/>
      <c r="B50" s="49"/>
      <c r="C50" s="58"/>
      <c r="D50" s="59"/>
      <c r="E50" s="61"/>
      <c r="F50" s="60"/>
      <c r="G50" s="60"/>
      <c r="H50" s="49"/>
      <c r="I50" s="49"/>
      <c r="J50" s="58"/>
      <c r="K50" s="58"/>
      <c r="L50" s="59"/>
      <c r="M50" s="61"/>
      <c r="N50" s="60"/>
      <c r="O50" s="49"/>
      <c r="P50" s="49"/>
      <c r="Q50" s="177">
        <f t="shared" si="8"/>
        <v>16785377.140666649</v>
      </c>
      <c r="R50" s="179">
        <v>0.1</v>
      </c>
      <c r="S50" s="49"/>
      <c r="T50" s="49"/>
      <c r="U50" s="49"/>
      <c r="V50" s="49"/>
      <c r="W50" s="49"/>
      <c r="X50" s="49"/>
      <c r="Y50" s="49"/>
      <c r="Z50" s="49"/>
      <c r="AA50" s="49"/>
    </row>
    <row r="51" spans="1:27" ht="18" customHeight="1">
      <c r="A51" s="50"/>
      <c r="G51" s="60"/>
      <c r="H51" s="49"/>
      <c r="I51" s="49"/>
      <c r="J51" s="58"/>
      <c r="K51" s="58"/>
      <c r="L51" s="59"/>
      <c r="M51" s="61"/>
      <c r="N51" s="60"/>
      <c r="O51" s="49"/>
      <c r="P51" s="49"/>
      <c r="Q51" s="177">
        <f t="shared" si="8"/>
        <v>-475137.85933333635</v>
      </c>
      <c r="R51" s="180">
        <v>0.25</v>
      </c>
      <c r="S51" s="49"/>
      <c r="T51" s="49"/>
      <c r="U51" s="49"/>
      <c r="V51" s="49"/>
      <c r="W51" s="49"/>
      <c r="X51" s="49"/>
      <c r="Y51" s="49"/>
      <c r="Z51" s="49"/>
      <c r="AA51" s="49"/>
    </row>
    <row r="52" spans="1:27" ht="18" customHeight="1">
      <c r="A52" s="50"/>
      <c r="F52" s="402"/>
      <c r="G52" s="60"/>
      <c r="H52" s="49"/>
      <c r="I52" s="49"/>
      <c r="J52" s="58"/>
      <c r="K52" s="58"/>
      <c r="L52" s="59"/>
      <c r="M52" s="61"/>
      <c r="N52" s="60"/>
      <c r="O52" s="49"/>
      <c r="P52" s="49"/>
      <c r="Q52" s="181">
        <f t="shared" si="8"/>
        <v>-7.1999996900558472E-2</v>
      </c>
      <c r="R52" s="182">
        <f>(J26-C44-C10+N24)/C23-1</f>
        <v>0.2458708840321393</v>
      </c>
      <c r="S52" s="49"/>
      <c r="T52" s="49"/>
      <c r="U52" s="49"/>
      <c r="V52" s="49"/>
      <c r="W52" s="49"/>
      <c r="X52" s="49"/>
      <c r="Y52" s="49"/>
      <c r="Z52" s="49"/>
      <c r="AA52" s="49"/>
    </row>
    <row r="53" spans="1:27" ht="18" customHeight="1">
      <c r="A53" s="50"/>
      <c r="G53" s="60"/>
      <c r="H53" s="49"/>
      <c r="I53" s="49"/>
      <c r="J53" s="58"/>
      <c r="K53" s="58"/>
      <c r="L53" s="59"/>
      <c r="M53" s="61"/>
      <c r="N53" s="60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</row>
    <row r="54" spans="1:27" ht="18" customHeight="1">
      <c r="A54" s="50"/>
      <c r="G54" s="60"/>
      <c r="H54" s="49"/>
      <c r="I54" s="49"/>
      <c r="J54" s="58"/>
      <c r="K54" s="58"/>
      <c r="L54" s="59"/>
      <c r="M54" s="61"/>
      <c r="N54" s="60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</row>
    <row r="55" spans="1:27" ht="18" customHeight="1">
      <c r="A55" s="50"/>
      <c r="G55" s="60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</row>
    <row r="56" spans="1:27" ht="18" customHeight="1">
      <c r="A56" s="50"/>
      <c r="B56" s="49"/>
      <c r="C56" s="58"/>
      <c r="D56" s="59"/>
      <c r="E56" s="61"/>
      <c r="F56" s="60"/>
      <c r="G56" s="60"/>
      <c r="H56" s="49"/>
      <c r="I56" s="49"/>
      <c r="J56" s="49"/>
      <c r="K56" s="49"/>
      <c r="L56" s="49"/>
      <c r="M56" s="49"/>
      <c r="N56" s="49"/>
      <c r="O56" s="49"/>
      <c r="P56" s="49"/>
      <c r="Q56" s="565" t="s">
        <v>510</v>
      </c>
      <c r="R56" s="596"/>
      <c r="S56" s="49"/>
      <c r="T56" s="49"/>
      <c r="U56" s="49"/>
      <c r="V56" s="49"/>
      <c r="W56" s="49"/>
      <c r="X56" s="49"/>
      <c r="Y56" s="49"/>
      <c r="Z56" s="49"/>
      <c r="AA56" s="49"/>
    </row>
    <row r="57" spans="1:27" ht="18" customHeight="1">
      <c r="A57" s="50"/>
      <c r="B57" s="49"/>
      <c r="C57" s="58"/>
      <c r="D57" s="59"/>
      <c r="E57" s="61"/>
      <c r="F57" s="60"/>
      <c r="G57" s="60"/>
      <c r="H57" s="49"/>
      <c r="I57" s="49"/>
      <c r="J57" s="49"/>
      <c r="K57" s="49"/>
      <c r="L57" s="49"/>
      <c r="M57" s="49"/>
      <c r="N57" s="49"/>
      <c r="O57" s="49"/>
      <c r="P57" s="49"/>
      <c r="Q57" s="174" t="s">
        <v>501</v>
      </c>
      <c r="R57" s="175" t="s">
        <v>511</v>
      </c>
      <c r="S57" s="49"/>
      <c r="T57" s="49"/>
      <c r="U57" s="49"/>
      <c r="V57" s="49"/>
      <c r="W57" s="49"/>
      <c r="X57" s="49"/>
      <c r="Y57" s="49"/>
      <c r="Z57" s="49"/>
      <c r="AA57" s="49"/>
    </row>
    <row r="58" spans="1:27" ht="18" customHeight="1">
      <c r="A58" s="50"/>
      <c r="B58" s="49"/>
      <c r="C58" s="58"/>
      <c r="D58" s="59"/>
      <c r="E58" s="61"/>
      <c r="F58" s="60"/>
      <c r="G58" s="60"/>
      <c r="H58" s="49"/>
      <c r="I58" s="49"/>
      <c r="J58" s="49"/>
      <c r="K58" s="49"/>
      <c r="L58" s="49"/>
      <c r="M58" s="49"/>
      <c r="N58" s="49"/>
      <c r="O58" s="49"/>
      <c r="P58" s="49"/>
      <c r="Q58" s="177">
        <f t="shared" ref="Q58:Q61" si="9">$J$26+-$C$10-$C$23-SUM($F$28:$F$38)-(($C$10*$E$39)*$C$39/12)*(SUM($R$7:$R$13)+R58)-(($C$23*$E$40+SUM($F$28:$F$38)*$E$40)*$C$40/12)*(SUM($R$14:$R$16)+R58)-(($C$10*$E$42)*$C$42/12)*(SUM($R$14:$R$16)+R58)</f>
        <v>28292387.140666671</v>
      </c>
      <c r="R58" s="186">
        <v>0</v>
      </c>
      <c r="S58" s="49"/>
      <c r="T58" s="49"/>
      <c r="U58" s="49"/>
      <c r="V58" s="49"/>
      <c r="W58" s="49"/>
      <c r="X58" s="49"/>
      <c r="Y58" s="49"/>
      <c r="Z58" s="49"/>
      <c r="AA58" s="49"/>
    </row>
    <row r="59" spans="1:27" ht="18" customHeight="1">
      <c r="A59" s="50"/>
      <c r="B59" s="49"/>
      <c r="C59" s="58"/>
      <c r="D59" s="59"/>
      <c r="E59" s="61"/>
      <c r="F59" s="60"/>
      <c r="G59" s="60"/>
      <c r="H59" s="49"/>
      <c r="I59" s="49"/>
      <c r="J59" s="49"/>
      <c r="K59" s="49"/>
      <c r="L59" s="49"/>
      <c r="M59" s="49"/>
      <c r="N59" s="49"/>
      <c r="O59" s="49"/>
      <c r="P59" s="49"/>
      <c r="Q59" s="177">
        <f t="shared" si="9"/>
        <v>24035678.011000004</v>
      </c>
      <c r="R59" s="186">
        <v>6</v>
      </c>
      <c r="S59" s="49"/>
      <c r="T59" s="49"/>
      <c r="U59" s="49"/>
      <c r="V59" s="49"/>
      <c r="W59" s="49"/>
      <c r="X59" s="49"/>
      <c r="Y59" s="49"/>
      <c r="Z59" s="49"/>
      <c r="AA59" s="49"/>
    </row>
    <row r="60" spans="1:27" ht="18" customHeight="1">
      <c r="A60" s="50"/>
      <c r="B60" s="49"/>
      <c r="C60" s="58"/>
      <c r="D60" s="59"/>
      <c r="E60" s="61"/>
      <c r="F60" s="60"/>
      <c r="G60" s="60"/>
      <c r="H60" s="49"/>
      <c r="I60" s="49"/>
      <c r="J60" s="49"/>
      <c r="K60" s="49"/>
      <c r="L60" s="49"/>
      <c r="M60" s="49"/>
      <c r="N60" s="49"/>
      <c r="O60" s="49"/>
      <c r="P60" s="49"/>
      <c r="Q60" s="177">
        <f t="shared" si="9"/>
        <v>19778968.88133334</v>
      </c>
      <c r="R60" s="186">
        <v>12</v>
      </c>
      <c r="S60" s="49"/>
      <c r="T60" s="49"/>
      <c r="U60" s="49"/>
      <c r="V60" s="49"/>
      <c r="W60" s="49"/>
      <c r="X60" s="49"/>
      <c r="Y60" s="49"/>
      <c r="Z60" s="49"/>
      <c r="AA60" s="49"/>
    </row>
    <row r="61" spans="1:27" ht="18" customHeight="1">
      <c r="A61" s="50"/>
      <c r="B61" s="49"/>
      <c r="C61" s="58"/>
      <c r="D61" s="59"/>
      <c r="E61" s="61"/>
      <c r="F61" s="60"/>
      <c r="G61" s="60"/>
      <c r="H61" s="49"/>
      <c r="I61" s="49"/>
      <c r="J61" s="49"/>
      <c r="K61" s="49"/>
      <c r="L61" s="49"/>
      <c r="M61" s="49"/>
      <c r="N61" s="49"/>
      <c r="O61" s="49"/>
      <c r="P61" s="49"/>
      <c r="Q61" s="181">
        <f t="shared" si="9"/>
        <v>11265550.622000005</v>
      </c>
      <c r="R61" s="450">
        <v>24</v>
      </c>
      <c r="S61" s="49"/>
      <c r="T61" s="49"/>
      <c r="U61" s="49"/>
      <c r="V61" s="49"/>
      <c r="W61" s="49"/>
      <c r="X61" s="49"/>
      <c r="Y61" s="49"/>
      <c r="Z61" s="49"/>
      <c r="AA61" s="49"/>
    </row>
    <row r="62" spans="1:27" ht="18" customHeight="1">
      <c r="A62" s="50"/>
      <c r="B62" s="49"/>
      <c r="C62" s="58"/>
      <c r="D62" s="59"/>
      <c r="E62" s="61"/>
      <c r="F62" s="60"/>
      <c r="G62" s="60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</row>
    <row r="63" spans="1:27" ht="18" customHeight="1">
      <c r="A63" s="50"/>
      <c r="B63" s="49"/>
      <c r="C63" s="58"/>
      <c r="D63" s="59"/>
      <c r="E63" s="61"/>
      <c r="F63" s="60"/>
      <c r="G63" s="60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</row>
    <row r="64" spans="1:27" ht="18" customHeight="1">
      <c r="A64" s="50"/>
      <c r="B64" s="49"/>
      <c r="C64" s="58"/>
      <c r="D64" s="59"/>
      <c r="E64" s="61"/>
      <c r="F64" s="60"/>
      <c r="G64" s="60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</row>
    <row r="65" spans="1:27" ht="18" customHeight="1">
      <c r="A65" s="50"/>
      <c r="B65" s="49"/>
      <c r="C65" s="58"/>
      <c r="D65" s="59"/>
      <c r="E65" s="61"/>
      <c r="F65" s="60"/>
      <c r="G65" s="60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</row>
    <row r="66" spans="1:27" ht="18" customHeight="1">
      <c r="A66" s="50"/>
      <c r="B66" s="49"/>
      <c r="C66" s="58"/>
      <c r="D66" s="59"/>
      <c r="E66" s="61"/>
      <c r="F66" s="60"/>
      <c r="G66" s="60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</row>
    <row r="67" spans="1:27" ht="18" customHeight="1">
      <c r="A67" s="50"/>
      <c r="B67" s="49"/>
      <c r="C67" s="58"/>
      <c r="D67" s="59"/>
      <c r="E67" s="61"/>
      <c r="F67" s="60"/>
      <c r="G67" s="60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</row>
    <row r="68" spans="1:27" ht="18" customHeight="1">
      <c r="A68" s="50"/>
      <c r="B68" s="49"/>
      <c r="C68" s="58"/>
      <c r="D68" s="59"/>
      <c r="E68" s="61"/>
      <c r="F68" s="60"/>
      <c r="G68" s="60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</row>
    <row r="69" spans="1:27" ht="18" customHeight="1">
      <c r="A69" s="50"/>
      <c r="B69" s="49"/>
      <c r="C69" s="58"/>
      <c r="D69" s="59"/>
      <c r="E69" s="61"/>
      <c r="F69" s="60"/>
      <c r="G69" s="60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</row>
    <row r="70" spans="1:27" ht="18" customHeight="1">
      <c r="A70" s="50"/>
      <c r="B70" s="49"/>
      <c r="C70" s="58"/>
      <c r="D70" s="59"/>
      <c r="E70" s="61"/>
      <c r="F70" s="60"/>
      <c r="G70" s="60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</row>
    <row r="71" spans="1:27" ht="18" customHeight="1">
      <c r="A71" s="50"/>
      <c r="B71" s="49"/>
      <c r="C71" s="58"/>
      <c r="D71" s="59"/>
      <c r="E71" s="61"/>
      <c r="F71" s="60"/>
      <c r="G71" s="60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</row>
    <row r="72" spans="1:27" ht="18" customHeight="1">
      <c r="A72" s="50"/>
      <c r="B72" s="49"/>
      <c r="C72" s="58"/>
      <c r="D72" s="59"/>
      <c r="E72" s="61"/>
      <c r="F72" s="60"/>
      <c r="G72" s="60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</row>
    <row r="73" spans="1:27" ht="18" customHeight="1">
      <c r="A73" s="50"/>
      <c r="B73" s="49"/>
      <c r="C73" s="58"/>
      <c r="D73" s="59"/>
      <c r="E73" s="61"/>
      <c r="F73" s="60"/>
      <c r="G73" s="60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</row>
    <row r="74" spans="1:27" ht="18" customHeight="1">
      <c r="A74" s="50"/>
      <c r="B74" s="49"/>
      <c r="C74" s="58"/>
      <c r="D74" s="59"/>
      <c r="E74" s="61"/>
      <c r="F74" s="60"/>
      <c r="G74" s="60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</row>
    <row r="75" spans="1:27" ht="18" customHeight="1">
      <c r="A75" s="50"/>
      <c r="B75" s="49"/>
      <c r="C75" s="58"/>
      <c r="D75" s="59"/>
      <c r="E75" s="61"/>
      <c r="F75" s="60"/>
      <c r="G75" s="60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</row>
    <row r="76" spans="1:27" ht="18" customHeight="1">
      <c r="A76" s="50"/>
      <c r="B76" s="49"/>
      <c r="C76" s="58"/>
      <c r="D76" s="59"/>
      <c r="E76" s="61"/>
      <c r="F76" s="60"/>
      <c r="G76" s="60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</row>
    <row r="77" spans="1:27" ht="18" customHeight="1">
      <c r="A77" s="50"/>
      <c r="B77" s="49"/>
      <c r="C77" s="58"/>
      <c r="D77" s="59"/>
      <c r="E77" s="61"/>
      <c r="F77" s="60"/>
      <c r="G77" s="60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</row>
    <row r="78" spans="1:27" ht="18" customHeight="1">
      <c r="A78" s="50"/>
      <c r="B78" s="49"/>
      <c r="C78" s="58"/>
      <c r="D78" s="59"/>
      <c r="E78" s="61"/>
      <c r="F78" s="60"/>
      <c r="G78" s="60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</row>
    <row r="79" spans="1:27" ht="18" customHeight="1">
      <c r="A79" s="50"/>
      <c r="B79" s="49"/>
      <c r="C79" s="58"/>
      <c r="D79" s="59"/>
      <c r="E79" s="61"/>
      <c r="F79" s="60"/>
      <c r="G79" s="60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</row>
    <row r="80" spans="1:27" ht="18" customHeight="1">
      <c r="A80" s="50"/>
      <c r="B80" s="49"/>
      <c r="C80" s="58"/>
      <c r="D80" s="59"/>
      <c r="E80" s="61"/>
      <c r="F80" s="60"/>
      <c r="G80" s="60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</row>
    <row r="81" spans="1:27" ht="18" customHeight="1">
      <c r="A81" s="50"/>
      <c r="B81" s="49"/>
      <c r="C81" s="58"/>
      <c r="D81" s="59"/>
      <c r="E81" s="61"/>
      <c r="F81" s="60"/>
      <c r="G81" s="60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</row>
    <row r="82" spans="1:27" ht="18" customHeight="1">
      <c r="A82" s="50"/>
      <c r="B82" s="49"/>
      <c r="C82" s="58"/>
      <c r="D82" s="59"/>
      <c r="E82" s="61"/>
      <c r="F82" s="60"/>
      <c r="G82" s="60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</row>
    <row r="83" spans="1:27" ht="18" customHeight="1">
      <c r="A83" s="50"/>
      <c r="B83" s="49"/>
      <c r="C83" s="58"/>
      <c r="D83" s="59"/>
      <c r="E83" s="61"/>
      <c r="F83" s="60"/>
      <c r="G83" s="60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</row>
    <row r="84" spans="1:27" ht="18" customHeight="1">
      <c r="A84" s="50"/>
      <c r="B84" s="49"/>
      <c r="C84" s="58"/>
      <c r="D84" s="59"/>
      <c r="E84" s="61"/>
      <c r="F84" s="60"/>
      <c r="G84" s="60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</row>
    <row r="85" spans="1:27" ht="18" customHeight="1">
      <c r="A85" s="50"/>
      <c r="B85" s="49"/>
      <c r="C85" s="58"/>
      <c r="D85" s="59"/>
      <c r="E85" s="61"/>
      <c r="F85" s="60"/>
      <c r="G85" s="60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</row>
    <row r="86" spans="1:27" ht="18" customHeight="1">
      <c r="A86" s="50"/>
      <c r="B86" s="49"/>
      <c r="C86" s="58"/>
      <c r="D86" s="59"/>
      <c r="E86" s="61"/>
      <c r="F86" s="60"/>
      <c r="G86" s="60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</row>
    <row r="87" spans="1:27" ht="18" customHeight="1">
      <c r="A87" s="50"/>
      <c r="B87" s="49"/>
      <c r="C87" s="58"/>
      <c r="D87" s="59"/>
      <c r="E87" s="61"/>
      <c r="F87" s="60"/>
      <c r="G87" s="60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</row>
    <row r="88" spans="1:27" ht="18" customHeight="1">
      <c r="A88" s="50"/>
      <c r="B88" s="49"/>
      <c r="C88" s="58"/>
      <c r="D88" s="59"/>
      <c r="E88" s="61"/>
      <c r="F88" s="60"/>
      <c r="G88" s="60"/>
      <c r="H88" s="49"/>
      <c r="I88" s="49"/>
      <c r="J88" s="58"/>
      <c r="K88" s="58"/>
      <c r="L88" s="59"/>
      <c r="M88" s="61"/>
      <c r="N88" s="60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</row>
    <row r="89" spans="1:27" ht="18" customHeight="1">
      <c r="A89" s="50"/>
      <c r="B89" s="49"/>
      <c r="C89" s="58"/>
      <c r="D89" s="59"/>
      <c r="E89" s="61"/>
      <c r="F89" s="60"/>
      <c r="G89" s="60"/>
      <c r="H89" s="49"/>
      <c r="I89" s="49"/>
      <c r="J89" s="58"/>
      <c r="K89" s="58"/>
      <c r="L89" s="59"/>
      <c r="M89" s="61"/>
      <c r="N89" s="60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</row>
    <row r="90" spans="1:27" ht="18" customHeight="1">
      <c r="A90" s="50"/>
      <c r="B90" s="49"/>
      <c r="C90" s="58"/>
      <c r="D90" s="59"/>
      <c r="E90" s="61"/>
      <c r="F90" s="60"/>
      <c r="G90" s="60"/>
      <c r="H90" s="49"/>
      <c r="I90" s="49"/>
      <c r="J90" s="58"/>
      <c r="K90" s="58"/>
      <c r="L90" s="59"/>
      <c r="M90" s="61"/>
      <c r="N90" s="60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</row>
    <row r="91" spans="1:27" ht="18" customHeight="1">
      <c r="A91" s="50"/>
      <c r="B91" s="49"/>
      <c r="C91" s="58"/>
      <c r="D91" s="59"/>
      <c r="E91" s="61"/>
      <c r="F91" s="60"/>
      <c r="G91" s="60"/>
      <c r="H91" s="49"/>
      <c r="I91" s="49"/>
      <c r="J91" s="58"/>
      <c r="K91" s="58"/>
      <c r="L91" s="59"/>
      <c r="M91" s="61"/>
      <c r="N91" s="60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</row>
    <row r="92" spans="1:27" ht="18" customHeight="1">
      <c r="A92" s="50"/>
      <c r="B92" s="49"/>
      <c r="C92" s="58"/>
      <c r="D92" s="59"/>
      <c r="E92" s="61"/>
      <c r="F92" s="60"/>
      <c r="G92" s="60"/>
      <c r="H92" s="49"/>
      <c r="I92" s="49"/>
      <c r="J92" s="58"/>
      <c r="K92" s="58"/>
      <c r="L92" s="59"/>
      <c r="M92" s="61"/>
      <c r="N92" s="60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</row>
    <row r="93" spans="1:27" ht="18" customHeight="1">
      <c r="A93" s="50"/>
      <c r="B93" s="49"/>
      <c r="C93" s="58"/>
      <c r="D93" s="59"/>
      <c r="E93" s="61"/>
      <c r="F93" s="60"/>
      <c r="G93" s="60"/>
      <c r="H93" s="49"/>
      <c r="I93" s="49"/>
      <c r="J93" s="58"/>
      <c r="K93" s="58"/>
      <c r="L93" s="59"/>
      <c r="M93" s="61"/>
      <c r="N93" s="60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</row>
    <row r="94" spans="1:27" ht="18" customHeight="1">
      <c r="A94" s="50"/>
      <c r="B94" s="49"/>
      <c r="C94" s="58"/>
      <c r="D94" s="59"/>
      <c r="E94" s="61"/>
      <c r="F94" s="60"/>
      <c r="G94" s="60"/>
      <c r="H94" s="49"/>
      <c r="I94" s="49"/>
      <c r="J94" s="58"/>
      <c r="K94" s="58"/>
      <c r="L94" s="59"/>
      <c r="M94" s="61"/>
      <c r="N94" s="60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</row>
    <row r="95" spans="1:27" ht="18" customHeight="1">
      <c r="A95" s="50"/>
      <c r="B95" s="49"/>
      <c r="C95" s="58"/>
      <c r="D95" s="59"/>
      <c r="E95" s="61"/>
      <c r="F95" s="60"/>
      <c r="G95" s="60"/>
      <c r="H95" s="49"/>
      <c r="I95" s="49"/>
      <c r="J95" s="58"/>
      <c r="K95" s="58"/>
      <c r="L95" s="59"/>
      <c r="M95" s="61"/>
      <c r="N95" s="60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</row>
    <row r="96" spans="1:27" ht="18" customHeight="1">
      <c r="A96" s="50"/>
      <c r="B96" s="49"/>
      <c r="C96" s="58"/>
      <c r="D96" s="59"/>
      <c r="E96" s="61"/>
      <c r="F96" s="60"/>
      <c r="G96" s="60"/>
      <c r="H96" s="49"/>
      <c r="I96" s="49"/>
      <c r="J96" s="58"/>
      <c r="K96" s="58"/>
      <c r="L96" s="59"/>
      <c r="M96" s="61"/>
      <c r="N96" s="60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</row>
    <row r="97" spans="1:27" ht="18" customHeight="1">
      <c r="A97" s="50"/>
      <c r="B97" s="49"/>
      <c r="C97" s="58"/>
      <c r="D97" s="59"/>
      <c r="E97" s="61"/>
      <c r="F97" s="60"/>
      <c r="G97" s="60"/>
      <c r="H97" s="49"/>
      <c r="I97" s="49"/>
      <c r="J97" s="58"/>
      <c r="K97" s="58"/>
      <c r="L97" s="59"/>
      <c r="M97" s="61"/>
      <c r="N97" s="60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</row>
    <row r="98" spans="1:27" ht="18" customHeight="1">
      <c r="A98" s="50"/>
      <c r="B98" s="49"/>
      <c r="C98" s="58"/>
      <c r="D98" s="59"/>
      <c r="E98" s="61"/>
      <c r="F98" s="60"/>
      <c r="G98" s="60"/>
      <c r="H98" s="49"/>
      <c r="I98" s="49"/>
      <c r="J98" s="58"/>
      <c r="K98" s="58"/>
      <c r="L98" s="59"/>
      <c r="M98" s="61"/>
      <c r="N98" s="60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</row>
    <row r="99" spans="1:27" ht="18" customHeight="1">
      <c r="A99" s="50"/>
      <c r="B99" s="49"/>
      <c r="C99" s="58"/>
      <c r="D99" s="59"/>
      <c r="E99" s="61"/>
      <c r="F99" s="60"/>
      <c r="G99" s="60"/>
      <c r="H99" s="49"/>
      <c r="I99" s="49"/>
      <c r="J99" s="58"/>
      <c r="K99" s="58"/>
      <c r="L99" s="59"/>
      <c r="M99" s="61"/>
      <c r="N99" s="60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</row>
    <row r="100" spans="1:27" ht="18" customHeight="1">
      <c r="A100" s="50"/>
      <c r="B100" s="49"/>
      <c r="C100" s="58"/>
      <c r="D100" s="59"/>
      <c r="E100" s="61"/>
      <c r="F100" s="60"/>
      <c r="G100" s="60"/>
      <c r="H100" s="49"/>
      <c r="I100" s="49"/>
      <c r="J100" s="58"/>
      <c r="K100" s="58"/>
      <c r="L100" s="59"/>
      <c r="M100" s="61"/>
      <c r="N100" s="60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</row>
    <row r="101" spans="1:27" ht="18" customHeight="1">
      <c r="A101" s="50"/>
      <c r="B101" s="49"/>
      <c r="C101" s="58"/>
      <c r="D101" s="59"/>
      <c r="E101" s="61"/>
      <c r="F101" s="60"/>
      <c r="G101" s="60"/>
      <c r="H101" s="49"/>
      <c r="I101" s="49"/>
      <c r="J101" s="58"/>
      <c r="K101" s="58"/>
      <c r="L101" s="59"/>
      <c r="M101" s="61"/>
      <c r="N101" s="60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</row>
    <row r="102" spans="1:27" ht="18" customHeight="1">
      <c r="A102" s="50"/>
      <c r="B102" s="49"/>
      <c r="C102" s="58"/>
      <c r="D102" s="59"/>
      <c r="E102" s="61"/>
      <c r="F102" s="60"/>
      <c r="G102" s="60"/>
      <c r="H102" s="49"/>
      <c r="I102" s="49"/>
      <c r="J102" s="58"/>
      <c r="K102" s="58"/>
      <c r="L102" s="59"/>
      <c r="M102" s="61"/>
      <c r="N102" s="60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</row>
    <row r="103" spans="1:27" ht="18" customHeight="1">
      <c r="A103" s="50"/>
      <c r="B103" s="49"/>
      <c r="C103" s="58"/>
      <c r="D103" s="59"/>
      <c r="E103" s="61"/>
      <c r="F103" s="60"/>
      <c r="G103" s="60"/>
      <c r="H103" s="49"/>
      <c r="I103" s="49"/>
      <c r="J103" s="58"/>
      <c r="K103" s="58"/>
      <c r="L103" s="59"/>
      <c r="M103" s="61"/>
      <c r="N103" s="60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</row>
    <row r="104" spans="1:27" ht="18" customHeight="1">
      <c r="A104" s="50"/>
      <c r="B104" s="49"/>
      <c r="C104" s="58"/>
      <c r="D104" s="59"/>
      <c r="E104" s="61"/>
      <c r="F104" s="60"/>
      <c r="G104" s="60"/>
      <c r="H104" s="49"/>
      <c r="I104" s="49"/>
      <c r="J104" s="58"/>
      <c r="K104" s="58"/>
      <c r="L104" s="59"/>
      <c r="M104" s="61"/>
      <c r="N104" s="60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</row>
    <row r="105" spans="1:27" ht="18" customHeight="1">
      <c r="A105" s="50"/>
      <c r="B105" s="49"/>
      <c r="C105" s="58"/>
      <c r="D105" s="59"/>
      <c r="E105" s="61"/>
      <c r="F105" s="60"/>
      <c r="G105" s="60"/>
      <c r="H105" s="49"/>
      <c r="I105" s="49"/>
      <c r="J105" s="58"/>
      <c r="K105" s="58"/>
      <c r="L105" s="59"/>
      <c r="M105" s="61"/>
      <c r="N105" s="60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</row>
    <row r="106" spans="1:27" ht="18" customHeight="1">
      <c r="A106" s="50"/>
      <c r="B106" s="49"/>
      <c r="C106" s="58"/>
      <c r="D106" s="59"/>
      <c r="E106" s="61"/>
      <c r="F106" s="60"/>
      <c r="G106" s="60"/>
      <c r="H106" s="49"/>
      <c r="I106" s="49"/>
      <c r="J106" s="58"/>
      <c r="K106" s="58"/>
      <c r="L106" s="59"/>
      <c r="M106" s="61"/>
      <c r="N106" s="60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</row>
    <row r="107" spans="1:27" ht="18" customHeight="1">
      <c r="A107" s="50"/>
      <c r="B107" s="49"/>
      <c r="C107" s="58"/>
      <c r="D107" s="59"/>
      <c r="E107" s="61"/>
      <c r="F107" s="60"/>
      <c r="G107" s="60"/>
      <c r="H107" s="49"/>
      <c r="I107" s="49"/>
      <c r="J107" s="58"/>
      <c r="K107" s="58"/>
      <c r="L107" s="59"/>
      <c r="M107" s="61"/>
      <c r="N107" s="60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</row>
    <row r="108" spans="1:27" ht="18" customHeight="1">
      <c r="A108" s="50"/>
      <c r="B108" s="49"/>
      <c r="C108" s="58"/>
      <c r="D108" s="59"/>
      <c r="E108" s="61"/>
      <c r="F108" s="60"/>
      <c r="G108" s="60"/>
      <c r="H108" s="49"/>
      <c r="I108" s="49"/>
      <c r="J108" s="58"/>
      <c r="K108" s="58"/>
      <c r="L108" s="59"/>
      <c r="M108" s="61"/>
      <c r="N108" s="60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</row>
    <row r="109" spans="1:27" ht="18" customHeight="1">
      <c r="A109" s="50"/>
      <c r="B109" s="49"/>
      <c r="C109" s="58"/>
      <c r="D109" s="59"/>
      <c r="E109" s="61"/>
      <c r="F109" s="60"/>
      <c r="G109" s="60"/>
      <c r="H109" s="49"/>
      <c r="I109" s="49"/>
      <c r="J109" s="58"/>
      <c r="K109" s="58"/>
      <c r="L109" s="59"/>
      <c r="M109" s="61"/>
      <c r="N109" s="60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</row>
    <row r="110" spans="1:27" ht="18" customHeight="1">
      <c r="A110" s="50"/>
      <c r="B110" s="49"/>
      <c r="C110" s="58"/>
      <c r="D110" s="59"/>
      <c r="E110" s="61"/>
      <c r="F110" s="60"/>
      <c r="G110" s="60"/>
      <c r="H110" s="49"/>
      <c r="I110" s="49"/>
      <c r="J110" s="58"/>
      <c r="K110" s="58"/>
      <c r="L110" s="59"/>
      <c r="M110" s="61"/>
      <c r="N110" s="60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</row>
    <row r="111" spans="1:27" ht="18" customHeight="1">
      <c r="A111" s="50"/>
      <c r="B111" s="49"/>
      <c r="C111" s="58"/>
      <c r="D111" s="59"/>
      <c r="E111" s="61"/>
      <c r="F111" s="60"/>
      <c r="G111" s="60"/>
      <c r="H111" s="49"/>
      <c r="I111" s="49"/>
      <c r="J111" s="58"/>
      <c r="K111" s="58"/>
      <c r="L111" s="59"/>
      <c r="M111" s="61"/>
      <c r="N111" s="60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</row>
    <row r="112" spans="1:27" ht="18" customHeight="1">
      <c r="A112" s="50"/>
      <c r="B112" s="49"/>
      <c r="C112" s="58"/>
      <c r="D112" s="59"/>
      <c r="E112" s="61"/>
      <c r="F112" s="60"/>
      <c r="G112" s="60"/>
      <c r="H112" s="49"/>
      <c r="I112" s="49"/>
      <c r="J112" s="58"/>
      <c r="K112" s="58"/>
      <c r="L112" s="59"/>
      <c r="M112" s="61"/>
      <c r="N112" s="60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</row>
    <row r="113" spans="1:27" ht="18" customHeight="1">
      <c r="A113" s="50"/>
      <c r="B113" s="49"/>
      <c r="C113" s="58"/>
      <c r="D113" s="59"/>
      <c r="E113" s="61"/>
      <c r="F113" s="60"/>
      <c r="G113" s="60"/>
      <c r="H113" s="49"/>
      <c r="I113" s="49"/>
      <c r="J113" s="58"/>
      <c r="K113" s="58"/>
      <c r="L113" s="59"/>
      <c r="M113" s="61"/>
      <c r="N113" s="60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</row>
    <row r="114" spans="1:27" ht="18" customHeight="1">
      <c r="A114" s="50"/>
      <c r="B114" s="49"/>
      <c r="C114" s="58"/>
      <c r="D114" s="59"/>
      <c r="E114" s="61"/>
      <c r="F114" s="60"/>
      <c r="G114" s="60"/>
      <c r="H114" s="49"/>
      <c r="I114" s="49"/>
      <c r="J114" s="58"/>
      <c r="K114" s="58"/>
      <c r="L114" s="59"/>
      <c r="M114" s="61"/>
      <c r="N114" s="60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</row>
    <row r="115" spans="1:27" ht="18" customHeight="1">
      <c r="A115" s="50"/>
      <c r="B115" s="49"/>
      <c r="C115" s="58"/>
      <c r="D115" s="59"/>
      <c r="E115" s="61"/>
      <c r="F115" s="60"/>
      <c r="G115" s="60"/>
      <c r="H115" s="49"/>
      <c r="I115" s="49"/>
      <c r="J115" s="58"/>
      <c r="K115" s="58"/>
      <c r="L115" s="59"/>
      <c r="M115" s="61"/>
      <c r="N115" s="60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</row>
    <row r="116" spans="1:27" ht="18" customHeight="1">
      <c r="A116" s="50"/>
      <c r="B116" s="49"/>
      <c r="C116" s="58"/>
      <c r="D116" s="59"/>
      <c r="E116" s="61"/>
      <c r="F116" s="60"/>
      <c r="G116" s="60"/>
      <c r="H116" s="49"/>
      <c r="I116" s="49"/>
      <c r="J116" s="58"/>
      <c r="K116" s="58"/>
      <c r="L116" s="59"/>
      <c r="M116" s="61"/>
      <c r="N116" s="60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</row>
    <row r="117" spans="1:27" ht="18" customHeight="1">
      <c r="A117" s="50"/>
      <c r="B117" s="49"/>
      <c r="C117" s="58"/>
      <c r="D117" s="59"/>
      <c r="E117" s="61"/>
      <c r="F117" s="60"/>
      <c r="G117" s="60"/>
      <c r="H117" s="49"/>
      <c r="I117" s="49"/>
      <c r="J117" s="58"/>
      <c r="K117" s="58"/>
      <c r="L117" s="59"/>
      <c r="M117" s="61"/>
      <c r="N117" s="60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</row>
    <row r="118" spans="1:27" ht="18" customHeight="1">
      <c r="A118" s="50"/>
      <c r="B118" s="49"/>
      <c r="C118" s="58"/>
      <c r="D118" s="59"/>
      <c r="E118" s="61"/>
      <c r="F118" s="60"/>
      <c r="G118" s="60"/>
      <c r="H118" s="49"/>
      <c r="I118" s="49"/>
      <c r="J118" s="58"/>
      <c r="K118" s="58"/>
      <c r="L118" s="59"/>
      <c r="M118" s="61"/>
      <c r="N118" s="60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</row>
    <row r="119" spans="1:27" ht="18" customHeight="1">
      <c r="A119" s="50"/>
      <c r="B119" s="49"/>
      <c r="C119" s="58"/>
      <c r="D119" s="59"/>
      <c r="E119" s="61"/>
      <c r="F119" s="60"/>
      <c r="G119" s="60"/>
      <c r="H119" s="49"/>
      <c r="I119" s="49"/>
      <c r="J119" s="58"/>
      <c r="K119" s="58"/>
      <c r="L119" s="59"/>
      <c r="M119" s="61"/>
      <c r="N119" s="60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</row>
    <row r="120" spans="1:27" ht="18" customHeight="1">
      <c r="A120" s="50"/>
      <c r="B120" s="49"/>
      <c r="C120" s="58"/>
      <c r="D120" s="59"/>
      <c r="E120" s="61"/>
      <c r="F120" s="60"/>
      <c r="G120" s="60"/>
      <c r="H120" s="49"/>
      <c r="I120" s="49"/>
      <c r="J120" s="58"/>
      <c r="K120" s="58"/>
      <c r="L120" s="59"/>
      <c r="M120" s="61"/>
      <c r="N120" s="60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</row>
    <row r="121" spans="1:27" ht="18" customHeight="1">
      <c r="A121" s="50"/>
      <c r="B121" s="49"/>
      <c r="C121" s="58"/>
      <c r="D121" s="59"/>
      <c r="E121" s="61"/>
      <c r="F121" s="60"/>
      <c r="G121" s="60"/>
      <c r="H121" s="49"/>
      <c r="I121" s="49"/>
      <c r="J121" s="58"/>
      <c r="K121" s="58"/>
      <c r="L121" s="59"/>
      <c r="M121" s="61"/>
      <c r="N121" s="60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</row>
    <row r="122" spans="1:27" ht="18" customHeight="1">
      <c r="A122" s="50"/>
      <c r="B122" s="49"/>
      <c r="C122" s="58"/>
      <c r="D122" s="59"/>
      <c r="E122" s="61"/>
      <c r="F122" s="60"/>
      <c r="G122" s="60"/>
      <c r="H122" s="49"/>
      <c r="I122" s="49"/>
      <c r="J122" s="58"/>
      <c r="K122" s="58"/>
      <c r="L122" s="59"/>
      <c r="M122" s="61"/>
      <c r="N122" s="60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</row>
    <row r="123" spans="1:27" ht="18" customHeight="1">
      <c r="A123" s="50"/>
      <c r="B123" s="49"/>
      <c r="C123" s="58"/>
      <c r="D123" s="59"/>
      <c r="E123" s="61"/>
      <c r="F123" s="60"/>
      <c r="G123" s="60"/>
      <c r="H123" s="49"/>
      <c r="I123" s="49"/>
      <c r="J123" s="58"/>
      <c r="K123" s="58"/>
      <c r="L123" s="59"/>
      <c r="M123" s="61"/>
      <c r="N123" s="60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</row>
    <row r="124" spans="1:27" ht="18" customHeight="1">
      <c r="A124" s="50"/>
      <c r="B124" s="49"/>
      <c r="C124" s="58"/>
      <c r="D124" s="59"/>
      <c r="E124" s="61"/>
      <c r="F124" s="60"/>
      <c r="G124" s="60"/>
      <c r="H124" s="49"/>
      <c r="I124" s="49"/>
      <c r="J124" s="58"/>
      <c r="K124" s="58"/>
      <c r="L124" s="59"/>
      <c r="M124" s="61"/>
      <c r="N124" s="60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</row>
    <row r="125" spans="1:27" ht="18" customHeight="1">
      <c r="A125" s="50"/>
      <c r="B125" s="49"/>
      <c r="C125" s="58"/>
      <c r="D125" s="59"/>
      <c r="E125" s="61"/>
      <c r="F125" s="60"/>
      <c r="G125" s="60"/>
      <c r="H125" s="49"/>
      <c r="I125" s="49"/>
      <c r="J125" s="58"/>
      <c r="K125" s="58"/>
      <c r="L125" s="59"/>
      <c r="M125" s="61"/>
      <c r="N125" s="60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</row>
    <row r="126" spans="1:27" ht="18" customHeight="1">
      <c r="A126" s="50"/>
      <c r="B126" s="49"/>
      <c r="C126" s="58"/>
      <c r="D126" s="59"/>
      <c r="E126" s="61"/>
      <c r="F126" s="60"/>
      <c r="G126" s="60"/>
      <c r="H126" s="49"/>
      <c r="I126" s="49"/>
      <c r="J126" s="58"/>
      <c r="K126" s="58"/>
      <c r="L126" s="59"/>
      <c r="M126" s="61"/>
      <c r="N126" s="60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</row>
    <row r="127" spans="1:27" ht="18" customHeight="1">
      <c r="A127" s="50"/>
      <c r="B127" s="49"/>
      <c r="C127" s="58"/>
      <c r="D127" s="59"/>
      <c r="E127" s="61"/>
      <c r="F127" s="60"/>
      <c r="G127" s="60"/>
      <c r="H127" s="49"/>
      <c r="I127" s="49"/>
      <c r="J127" s="58"/>
      <c r="K127" s="58"/>
      <c r="L127" s="59"/>
      <c r="M127" s="61"/>
      <c r="N127" s="60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</row>
    <row r="128" spans="1:27" ht="18" customHeight="1">
      <c r="A128" s="50"/>
      <c r="B128" s="49"/>
      <c r="C128" s="58"/>
      <c r="D128" s="59"/>
      <c r="E128" s="61"/>
      <c r="F128" s="60"/>
      <c r="G128" s="60"/>
      <c r="H128" s="49"/>
      <c r="I128" s="49"/>
      <c r="J128" s="58"/>
      <c r="K128" s="58"/>
      <c r="L128" s="59"/>
      <c r="M128" s="61"/>
      <c r="N128" s="60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</row>
    <row r="129" spans="1:27" ht="18" customHeight="1">
      <c r="A129" s="50"/>
      <c r="B129" s="49"/>
      <c r="C129" s="58"/>
      <c r="D129" s="59"/>
      <c r="E129" s="61"/>
      <c r="F129" s="60"/>
      <c r="G129" s="60"/>
      <c r="H129" s="49"/>
      <c r="I129" s="49"/>
      <c r="J129" s="58"/>
      <c r="K129" s="58"/>
      <c r="L129" s="59"/>
      <c r="M129" s="61"/>
      <c r="N129" s="60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</row>
    <row r="130" spans="1:27" ht="18" customHeight="1">
      <c r="A130" s="50"/>
      <c r="B130" s="49"/>
      <c r="C130" s="58"/>
      <c r="D130" s="59"/>
      <c r="E130" s="61"/>
      <c r="F130" s="60"/>
      <c r="G130" s="60"/>
      <c r="H130" s="49"/>
      <c r="I130" s="49"/>
      <c r="J130" s="58"/>
      <c r="K130" s="58"/>
      <c r="L130" s="59"/>
      <c r="M130" s="61"/>
      <c r="N130" s="60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</row>
    <row r="131" spans="1:27" ht="18" customHeight="1">
      <c r="A131" s="50"/>
      <c r="B131" s="49"/>
      <c r="C131" s="58"/>
      <c r="D131" s="59"/>
      <c r="E131" s="61"/>
      <c r="F131" s="60"/>
      <c r="G131" s="60"/>
      <c r="H131" s="49"/>
      <c r="I131" s="49"/>
      <c r="J131" s="58"/>
      <c r="K131" s="58"/>
      <c r="L131" s="59"/>
      <c r="M131" s="61"/>
      <c r="N131" s="60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</row>
    <row r="132" spans="1:27" ht="18" customHeight="1">
      <c r="A132" s="50"/>
      <c r="B132" s="49"/>
      <c r="C132" s="58"/>
      <c r="D132" s="59"/>
      <c r="E132" s="61"/>
      <c r="F132" s="60"/>
      <c r="G132" s="60"/>
      <c r="H132" s="49"/>
      <c r="I132" s="49"/>
      <c r="J132" s="58"/>
      <c r="K132" s="58"/>
      <c r="L132" s="59"/>
      <c r="M132" s="61"/>
      <c r="N132" s="60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</row>
    <row r="133" spans="1:27" ht="18" customHeight="1">
      <c r="A133" s="50"/>
      <c r="B133" s="49"/>
      <c r="C133" s="58"/>
      <c r="D133" s="59"/>
      <c r="E133" s="61"/>
      <c r="F133" s="60"/>
      <c r="G133" s="60"/>
      <c r="H133" s="49"/>
      <c r="I133" s="49"/>
      <c r="J133" s="58"/>
      <c r="K133" s="58"/>
      <c r="L133" s="59"/>
      <c r="M133" s="61"/>
      <c r="N133" s="60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</row>
    <row r="134" spans="1:27" ht="18" customHeight="1">
      <c r="A134" s="50"/>
      <c r="B134" s="49"/>
      <c r="C134" s="58"/>
      <c r="D134" s="59"/>
      <c r="E134" s="61"/>
      <c r="F134" s="60"/>
      <c r="G134" s="60"/>
      <c r="H134" s="49"/>
      <c r="I134" s="49"/>
      <c r="J134" s="58"/>
      <c r="K134" s="58"/>
      <c r="L134" s="59"/>
      <c r="M134" s="61"/>
      <c r="N134" s="60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</row>
    <row r="135" spans="1:27" ht="18" customHeight="1">
      <c r="A135" s="50"/>
      <c r="B135" s="49"/>
      <c r="C135" s="58"/>
      <c r="D135" s="59"/>
      <c r="E135" s="61"/>
      <c r="F135" s="60"/>
      <c r="G135" s="60"/>
      <c r="H135" s="49"/>
      <c r="I135" s="49"/>
      <c r="J135" s="58"/>
      <c r="K135" s="58"/>
      <c r="L135" s="59"/>
      <c r="M135" s="61"/>
      <c r="N135" s="60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</row>
    <row r="136" spans="1:27" ht="18" customHeight="1">
      <c r="A136" s="50"/>
      <c r="B136" s="49"/>
      <c r="C136" s="58"/>
      <c r="D136" s="59"/>
      <c r="E136" s="61"/>
      <c r="F136" s="60"/>
      <c r="G136" s="60"/>
      <c r="H136" s="49"/>
      <c r="I136" s="49"/>
      <c r="J136" s="58"/>
      <c r="K136" s="58"/>
      <c r="L136" s="59"/>
      <c r="M136" s="61"/>
      <c r="N136" s="60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</row>
    <row r="137" spans="1:27" ht="18" customHeight="1">
      <c r="A137" s="50"/>
      <c r="B137" s="49"/>
      <c r="C137" s="58"/>
      <c r="D137" s="59"/>
      <c r="E137" s="61"/>
      <c r="F137" s="60"/>
      <c r="G137" s="60"/>
      <c r="H137" s="49"/>
      <c r="I137" s="49"/>
      <c r="J137" s="58"/>
      <c r="K137" s="58"/>
      <c r="L137" s="59"/>
      <c r="M137" s="61"/>
      <c r="N137" s="60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</row>
    <row r="138" spans="1:27" ht="18" customHeight="1">
      <c r="A138" s="50"/>
      <c r="B138" s="49"/>
      <c r="C138" s="58"/>
      <c r="D138" s="59"/>
      <c r="E138" s="61"/>
      <c r="F138" s="60"/>
      <c r="G138" s="60"/>
      <c r="H138" s="49"/>
      <c r="I138" s="49"/>
      <c r="J138" s="58"/>
      <c r="K138" s="58"/>
      <c r="L138" s="59"/>
      <c r="M138" s="61"/>
      <c r="N138" s="60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</row>
    <row r="139" spans="1:27" ht="18" customHeight="1">
      <c r="A139" s="50"/>
      <c r="B139" s="49"/>
      <c r="C139" s="58"/>
      <c r="D139" s="59"/>
      <c r="E139" s="61"/>
      <c r="F139" s="60"/>
      <c r="G139" s="60"/>
      <c r="H139" s="49"/>
      <c r="I139" s="49"/>
      <c r="J139" s="58"/>
      <c r="K139" s="58"/>
      <c r="L139" s="59"/>
      <c r="M139" s="61"/>
      <c r="N139" s="60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</row>
    <row r="140" spans="1:27" ht="18" customHeight="1">
      <c r="A140" s="50"/>
      <c r="B140" s="49"/>
      <c r="C140" s="58"/>
      <c r="D140" s="59"/>
      <c r="E140" s="61"/>
      <c r="F140" s="60"/>
      <c r="G140" s="60"/>
      <c r="H140" s="49"/>
      <c r="I140" s="49"/>
      <c r="J140" s="58"/>
      <c r="K140" s="58"/>
      <c r="L140" s="59"/>
      <c r="M140" s="61"/>
      <c r="N140" s="60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</row>
    <row r="141" spans="1:27" ht="18" customHeight="1">
      <c r="A141" s="50"/>
      <c r="B141" s="49"/>
      <c r="C141" s="58"/>
      <c r="D141" s="59"/>
      <c r="E141" s="61"/>
      <c r="F141" s="60"/>
      <c r="G141" s="60"/>
      <c r="H141" s="49"/>
      <c r="I141" s="49"/>
      <c r="J141" s="58"/>
      <c r="K141" s="58"/>
      <c r="L141" s="59"/>
      <c r="M141" s="61"/>
      <c r="N141" s="60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</row>
    <row r="142" spans="1:27" ht="18" customHeight="1">
      <c r="A142" s="50"/>
      <c r="B142" s="49"/>
      <c r="C142" s="58"/>
      <c r="D142" s="59"/>
      <c r="E142" s="61"/>
      <c r="F142" s="60"/>
      <c r="G142" s="60"/>
      <c r="H142" s="49"/>
      <c r="I142" s="49"/>
      <c r="J142" s="58"/>
      <c r="K142" s="58"/>
      <c r="L142" s="59"/>
      <c r="M142" s="61"/>
      <c r="N142" s="60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</row>
    <row r="143" spans="1:27" ht="18" customHeight="1">
      <c r="A143" s="50"/>
      <c r="B143" s="49"/>
      <c r="C143" s="58"/>
      <c r="D143" s="59"/>
      <c r="E143" s="61"/>
      <c r="F143" s="60"/>
      <c r="G143" s="60"/>
      <c r="H143" s="49"/>
      <c r="I143" s="49"/>
      <c r="J143" s="58"/>
      <c r="K143" s="58"/>
      <c r="L143" s="59"/>
      <c r="M143" s="61"/>
      <c r="N143" s="60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</row>
    <row r="144" spans="1:27" ht="18" customHeight="1">
      <c r="A144" s="50"/>
      <c r="B144" s="49"/>
      <c r="C144" s="58"/>
      <c r="D144" s="59"/>
      <c r="E144" s="61"/>
      <c r="F144" s="60"/>
      <c r="G144" s="60"/>
      <c r="H144" s="49"/>
      <c r="I144" s="49"/>
      <c r="J144" s="58"/>
      <c r="K144" s="58"/>
      <c r="L144" s="59"/>
      <c r="M144" s="61"/>
      <c r="N144" s="60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</row>
    <row r="145" spans="1:27" ht="18" customHeight="1">
      <c r="A145" s="50"/>
      <c r="B145" s="49"/>
      <c r="C145" s="58"/>
      <c r="D145" s="59"/>
      <c r="E145" s="61"/>
      <c r="F145" s="60"/>
      <c r="G145" s="60"/>
      <c r="H145" s="49"/>
      <c r="I145" s="49"/>
      <c r="J145" s="58"/>
      <c r="K145" s="58"/>
      <c r="L145" s="59"/>
      <c r="M145" s="61"/>
      <c r="N145" s="60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</row>
    <row r="146" spans="1:27" ht="18" customHeight="1">
      <c r="A146" s="50"/>
      <c r="B146" s="49"/>
      <c r="C146" s="58"/>
      <c r="D146" s="59"/>
      <c r="E146" s="61"/>
      <c r="F146" s="60"/>
      <c r="G146" s="60"/>
      <c r="H146" s="49"/>
      <c r="I146" s="49"/>
      <c r="J146" s="58"/>
      <c r="K146" s="58"/>
      <c r="L146" s="59"/>
      <c r="M146" s="61"/>
      <c r="N146" s="60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</row>
    <row r="147" spans="1:27" ht="18" customHeight="1">
      <c r="A147" s="50"/>
      <c r="B147" s="49"/>
      <c r="C147" s="58"/>
      <c r="D147" s="59"/>
      <c r="E147" s="61"/>
      <c r="F147" s="60"/>
      <c r="G147" s="60"/>
      <c r="H147" s="49"/>
      <c r="I147" s="49"/>
      <c r="J147" s="58"/>
      <c r="K147" s="58"/>
      <c r="L147" s="59"/>
      <c r="M147" s="61"/>
      <c r="N147" s="60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</row>
    <row r="148" spans="1:27" ht="18" customHeight="1">
      <c r="A148" s="50"/>
      <c r="B148" s="49"/>
      <c r="C148" s="58"/>
      <c r="D148" s="59"/>
      <c r="E148" s="61"/>
      <c r="F148" s="60"/>
      <c r="G148" s="60"/>
      <c r="H148" s="49"/>
      <c r="I148" s="49"/>
      <c r="J148" s="58"/>
      <c r="K148" s="58"/>
      <c r="L148" s="59"/>
      <c r="M148" s="61"/>
      <c r="N148" s="60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</row>
    <row r="149" spans="1:27" ht="18" customHeight="1">
      <c r="A149" s="50"/>
      <c r="B149" s="49"/>
      <c r="C149" s="58"/>
      <c r="D149" s="59"/>
      <c r="E149" s="61"/>
      <c r="F149" s="60"/>
      <c r="G149" s="60"/>
      <c r="H149" s="49"/>
      <c r="I149" s="49"/>
      <c r="J149" s="58"/>
      <c r="K149" s="58"/>
      <c r="L149" s="59"/>
      <c r="M149" s="61"/>
      <c r="N149" s="60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</row>
    <row r="150" spans="1:27" ht="18" customHeight="1">
      <c r="A150" s="50"/>
      <c r="B150" s="49"/>
      <c r="C150" s="58"/>
      <c r="D150" s="59"/>
      <c r="E150" s="61"/>
      <c r="F150" s="60"/>
      <c r="G150" s="60"/>
      <c r="H150" s="49"/>
      <c r="I150" s="49"/>
      <c r="J150" s="58"/>
      <c r="K150" s="58"/>
      <c r="L150" s="59"/>
      <c r="M150" s="61"/>
      <c r="N150" s="60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</row>
    <row r="151" spans="1:27" ht="18" customHeight="1">
      <c r="A151" s="50"/>
      <c r="B151" s="49"/>
      <c r="C151" s="58"/>
      <c r="D151" s="59"/>
      <c r="E151" s="61"/>
      <c r="F151" s="60"/>
      <c r="G151" s="60"/>
      <c r="H151" s="49"/>
      <c r="I151" s="49"/>
      <c r="J151" s="58"/>
      <c r="K151" s="58"/>
      <c r="L151" s="59"/>
      <c r="M151" s="61"/>
      <c r="N151" s="60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</row>
    <row r="152" spans="1:27" ht="18" customHeight="1">
      <c r="A152" s="50"/>
      <c r="B152" s="49"/>
      <c r="C152" s="58"/>
      <c r="D152" s="59"/>
      <c r="E152" s="61"/>
      <c r="F152" s="60"/>
      <c r="G152" s="60"/>
      <c r="H152" s="49"/>
      <c r="I152" s="49"/>
      <c r="J152" s="58"/>
      <c r="K152" s="58"/>
      <c r="L152" s="59"/>
      <c r="M152" s="61"/>
      <c r="N152" s="60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</row>
    <row r="153" spans="1:27" ht="18" customHeight="1">
      <c r="A153" s="50"/>
      <c r="B153" s="49"/>
      <c r="C153" s="58"/>
      <c r="D153" s="59"/>
      <c r="E153" s="61"/>
      <c r="F153" s="60"/>
      <c r="G153" s="60"/>
      <c r="H153" s="49"/>
      <c r="I153" s="49"/>
      <c r="J153" s="58"/>
      <c r="K153" s="58"/>
      <c r="L153" s="59"/>
      <c r="M153" s="61"/>
      <c r="N153" s="60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</row>
    <row r="154" spans="1:27" ht="18" customHeight="1">
      <c r="A154" s="50"/>
      <c r="B154" s="49"/>
      <c r="C154" s="58"/>
      <c r="D154" s="59"/>
      <c r="E154" s="61"/>
      <c r="F154" s="60"/>
      <c r="G154" s="60"/>
      <c r="H154" s="49"/>
      <c r="I154" s="49"/>
      <c r="J154" s="58"/>
      <c r="K154" s="58"/>
      <c r="L154" s="59"/>
      <c r="M154" s="61"/>
      <c r="N154" s="60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</row>
    <row r="155" spans="1:27" ht="18" customHeight="1">
      <c r="A155" s="50"/>
      <c r="B155" s="49"/>
      <c r="C155" s="58"/>
      <c r="D155" s="59"/>
      <c r="E155" s="61"/>
      <c r="F155" s="60"/>
      <c r="G155" s="60"/>
      <c r="H155" s="49"/>
      <c r="I155" s="49"/>
      <c r="J155" s="58"/>
      <c r="K155" s="58"/>
      <c r="L155" s="59"/>
      <c r="M155" s="61"/>
      <c r="N155" s="60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</row>
    <row r="156" spans="1:27" ht="18" customHeight="1">
      <c r="A156" s="50"/>
      <c r="B156" s="49"/>
      <c r="C156" s="58"/>
      <c r="D156" s="59"/>
      <c r="E156" s="61"/>
      <c r="F156" s="60"/>
      <c r="G156" s="60"/>
      <c r="H156" s="49"/>
      <c r="I156" s="49"/>
      <c r="J156" s="58"/>
      <c r="K156" s="58"/>
      <c r="L156" s="59"/>
      <c r="M156" s="61"/>
      <c r="N156" s="60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</row>
    <row r="157" spans="1:27" ht="18" customHeight="1">
      <c r="A157" s="50"/>
      <c r="B157" s="49"/>
      <c r="C157" s="58"/>
      <c r="D157" s="59"/>
      <c r="E157" s="61"/>
      <c r="F157" s="60"/>
      <c r="G157" s="60"/>
      <c r="H157" s="49"/>
      <c r="I157" s="49"/>
      <c r="J157" s="58"/>
      <c r="K157" s="58"/>
      <c r="L157" s="59"/>
      <c r="M157" s="61"/>
      <c r="N157" s="60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</row>
    <row r="158" spans="1:27" ht="18" customHeight="1">
      <c r="A158" s="50"/>
      <c r="B158" s="49"/>
      <c r="C158" s="58"/>
      <c r="D158" s="59"/>
      <c r="E158" s="61"/>
      <c r="F158" s="60"/>
      <c r="G158" s="60"/>
      <c r="H158" s="49"/>
      <c r="I158" s="49"/>
      <c r="J158" s="58"/>
      <c r="K158" s="58"/>
      <c r="L158" s="59"/>
      <c r="M158" s="61"/>
      <c r="N158" s="60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</row>
    <row r="159" spans="1:27" ht="18" customHeight="1">
      <c r="A159" s="50"/>
      <c r="B159" s="49"/>
      <c r="C159" s="58"/>
      <c r="D159" s="59"/>
      <c r="E159" s="61"/>
      <c r="F159" s="60"/>
      <c r="G159" s="60"/>
      <c r="H159" s="49"/>
      <c r="I159" s="49"/>
      <c r="J159" s="58"/>
      <c r="K159" s="58"/>
      <c r="L159" s="59"/>
      <c r="M159" s="61"/>
      <c r="N159" s="60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</row>
    <row r="160" spans="1:27" ht="18" customHeight="1">
      <c r="A160" s="50"/>
      <c r="B160" s="49"/>
      <c r="C160" s="58"/>
      <c r="D160" s="59"/>
      <c r="E160" s="61"/>
      <c r="F160" s="60"/>
      <c r="G160" s="60"/>
      <c r="H160" s="49"/>
      <c r="I160" s="49"/>
      <c r="J160" s="58"/>
      <c r="K160" s="58"/>
      <c r="L160" s="59"/>
      <c r="M160" s="61"/>
      <c r="N160" s="60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</row>
    <row r="161" spans="1:27" ht="18" customHeight="1">
      <c r="A161" s="50"/>
      <c r="B161" s="49"/>
      <c r="C161" s="58"/>
      <c r="D161" s="59"/>
      <c r="E161" s="61"/>
      <c r="F161" s="60"/>
      <c r="G161" s="60"/>
      <c r="H161" s="49"/>
      <c r="I161" s="49"/>
      <c r="J161" s="58"/>
      <c r="K161" s="58"/>
      <c r="L161" s="59"/>
      <c r="M161" s="61"/>
      <c r="N161" s="60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</row>
    <row r="162" spans="1:27" ht="18" customHeight="1">
      <c r="A162" s="50"/>
      <c r="B162" s="49"/>
      <c r="C162" s="58"/>
      <c r="D162" s="59"/>
      <c r="E162" s="61"/>
      <c r="F162" s="60"/>
      <c r="G162" s="60"/>
      <c r="H162" s="49"/>
      <c r="I162" s="49"/>
      <c r="J162" s="58"/>
      <c r="K162" s="58"/>
      <c r="L162" s="59"/>
      <c r="M162" s="61"/>
      <c r="N162" s="60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</row>
    <row r="163" spans="1:27" ht="18" customHeight="1">
      <c r="A163" s="50"/>
      <c r="B163" s="49"/>
      <c r="C163" s="58"/>
      <c r="D163" s="59"/>
      <c r="E163" s="61"/>
      <c r="F163" s="60"/>
      <c r="G163" s="60"/>
      <c r="H163" s="49"/>
      <c r="I163" s="49"/>
      <c r="J163" s="58"/>
      <c r="K163" s="58"/>
      <c r="L163" s="59"/>
      <c r="M163" s="61"/>
      <c r="N163" s="60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</row>
    <row r="164" spans="1:27" ht="18" customHeight="1">
      <c r="A164" s="50"/>
      <c r="B164" s="49"/>
      <c r="C164" s="58"/>
      <c r="D164" s="59"/>
      <c r="E164" s="61"/>
      <c r="F164" s="60"/>
      <c r="G164" s="60"/>
      <c r="H164" s="49"/>
      <c r="I164" s="49"/>
      <c r="J164" s="58"/>
      <c r="K164" s="58"/>
      <c r="L164" s="59"/>
      <c r="M164" s="61"/>
      <c r="N164" s="60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</row>
    <row r="165" spans="1:27" ht="18" customHeight="1">
      <c r="A165" s="50"/>
      <c r="B165" s="49"/>
      <c r="C165" s="58"/>
      <c r="D165" s="59"/>
      <c r="E165" s="61"/>
      <c r="F165" s="60"/>
      <c r="G165" s="60"/>
      <c r="H165" s="49"/>
      <c r="I165" s="49"/>
      <c r="J165" s="58"/>
      <c r="K165" s="58"/>
      <c r="L165" s="59"/>
      <c r="M165" s="61"/>
      <c r="N165" s="60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</row>
    <row r="166" spans="1:27" ht="18" customHeight="1">
      <c r="A166" s="50"/>
      <c r="B166" s="49"/>
      <c r="C166" s="58"/>
      <c r="D166" s="59"/>
      <c r="E166" s="61"/>
      <c r="F166" s="60"/>
      <c r="G166" s="60"/>
      <c r="H166" s="49"/>
      <c r="I166" s="49"/>
      <c r="J166" s="58"/>
      <c r="K166" s="58"/>
      <c r="L166" s="59"/>
      <c r="M166" s="61"/>
      <c r="N166" s="60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</row>
    <row r="167" spans="1:27" ht="18" customHeight="1">
      <c r="A167" s="50"/>
      <c r="B167" s="49"/>
      <c r="C167" s="58"/>
      <c r="D167" s="59"/>
      <c r="E167" s="61"/>
      <c r="F167" s="60"/>
      <c r="G167" s="60"/>
      <c r="H167" s="49"/>
      <c r="I167" s="49"/>
      <c r="J167" s="58"/>
      <c r="K167" s="58"/>
      <c r="L167" s="59"/>
      <c r="M167" s="61"/>
      <c r="N167" s="60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</row>
    <row r="168" spans="1:27" ht="18" customHeight="1">
      <c r="A168" s="50"/>
      <c r="B168" s="49"/>
      <c r="C168" s="58"/>
      <c r="D168" s="59"/>
      <c r="E168" s="61"/>
      <c r="F168" s="60"/>
      <c r="G168" s="60"/>
      <c r="H168" s="49"/>
      <c r="I168" s="49"/>
      <c r="J168" s="58"/>
      <c r="K168" s="58"/>
      <c r="L168" s="59"/>
      <c r="M168" s="61"/>
      <c r="N168" s="60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</row>
    <row r="169" spans="1:27" ht="18" customHeight="1">
      <c r="A169" s="50"/>
      <c r="B169" s="49"/>
      <c r="C169" s="58"/>
      <c r="D169" s="59"/>
      <c r="E169" s="61"/>
      <c r="F169" s="60"/>
      <c r="G169" s="60"/>
      <c r="H169" s="49"/>
      <c r="I169" s="49"/>
      <c r="J169" s="58"/>
      <c r="K169" s="58"/>
      <c r="L169" s="59"/>
      <c r="M169" s="61"/>
      <c r="N169" s="60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</row>
    <row r="170" spans="1:27" ht="18" customHeight="1">
      <c r="A170" s="50"/>
      <c r="B170" s="49"/>
      <c r="C170" s="58"/>
      <c r="D170" s="59"/>
      <c r="E170" s="61"/>
      <c r="F170" s="60"/>
      <c r="G170" s="60"/>
      <c r="H170" s="49"/>
      <c r="I170" s="49"/>
      <c r="J170" s="58"/>
      <c r="K170" s="58"/>
      <c r="L170" s="59"/>
      <c r="M170" s="61"/>
      <c r="N170" s="60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</row>
    <row r="171" spans="1:27" ht="18" customHeight="1">
      <c r="A171" s="50"/>
      <c r="B171" s="49"/>
      <c r="C171" s="58"/>
      <c r="D171" s="59"/>
      <c r="E171" s="61"/>
      <c r="F171" s="60"/>
      <c r="G171" s="60"/>
      <c r="H171" s="49"/>
      <c r="I171" s="49"/>
      <c r="J171" s="58"/>
      <c r="K171" s="58"/>
      <c r="L171" s="59"/>
      <c r="M171" s="61"/>
      <c r="N171" s="60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</row>
    <row r="172" spans="1:27" ht="18" customHeight="1">
      <c r="A172" s="50"/>
      <c r="B172" s="49"/>
      <c r="C172" s="58"/>
      <c r="D172" s="59"/>
      <c r="E172" s="61"/>
      <c r="F172" s="60"/>
      <c r="G172" s="60"/>
      <c r="H172" s="49"/>
      <c r="I172" s="49"/>
      <c r="J172" s="58"/>
      <c r="K172" s="58"/>
      <c r="L172" s="59"/>
      <c r="M172" s="61"/>
      <c r="N172" s="60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</row>
    <row r="173" spans="1:27" ht="18" customHeight="1">
      <c r="A173" s="50"/>
      <c r="B173" s="49"/>
      <c r="C173" s="58"/>
      <c r="D173" s="59"/>
      <c r="E173" s="61"/>
      <c r="F173" s="60"/>
      <c r="G173" s="60"/>
      <c r="H173" s="49"/>
      <c r="I173" s="49"/>
      <c r="J173" s="58"/>
      <c r="K173" s="58"/>
      <c r="L173" s="59"/>
      <c r="M173" s="61"/>
      <c r="N173" s="60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</row>
    <row r="174" spans="1:27" ht="18" customHeight="1">
      <c r="A174" s="50"/>
      <c r="B174" s="49"/>
      <c r="C174" s="58"/>
      <c r="D174" s="59"/>
      <c r="E174" s="61"/>
      <c r="F174" s="60"/>
      <c r="G174" s="60"/>
      <c r="H174" s="49"/>
      <c r="I174" s="49"/>
      <c r="J174" s="58"/>
      <c r="K174" s="58"/>
      <c r="L174" s="59"/>
      <c r="M174" s="61"/>
      <c r="N174" s="60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</row>
    <row r="175" spans="1:27" ht="18" customHeight="1">
      <c r="A175" s="50"/>
      <c r="B175" s="49"/>
      <c r="C175" s="58"/>
      <c r="D175" s="59"/>
      <c r="E175" s="61"/>
      <c r="F175" s="60"/>
      <c r="G175" s="60"/>
      <c r="H175" s="49"/>
      <c r="I175" s="49"/>
      <c r="J175" s="58"/>
      <c r="K175" s="58"/>
      <c r="L175" s="59"/>
      <c r="M175" s="61"/>
      <c r="N175" s="60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</row>
    <row r="176" spans="1:27" ht="18" customHeight="1">
      <c r="A176" s="50"/>
      <c r="B176" s="49"/>
      <c r="C176" s="58"/>
      <c r="D176" s="59"/>
      <c r="E176" s="61"/>
      <c r="F176" s="60"/>
      <c r="G176" s="60"/>
      <c r="H176" s="49"/>
      <c r="I176" s="49"/>
      <c r="J176" s="58"/>
      <c r="K176" s="58"/>
      <c r="L176" s="59"/>
      <c r="M176" s="61"/>
      <c r="N176" s="60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</row>
    <row r="177" spans="1:27" ht="18" customHeight="1">
      <c r="A177" s="50"/>
      <c r="B177" s="49"/>
      <c r="C177" s="58"/>
      <c r="D177" s="59"/>
      <c r="E177" s="61"/>
      <c r="F177" s="60"/>
      <c r="G177" s="60"/>
      <c r="H177" s="49"/>
      <c r="I177" s="49"/>
      <c r="J177" s="58"/>
      <c r="K177" s="58"/>
      <c r="L177" s="59"/>
      <c r="M177" s="61"/>
      <c r="N177" s="60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</row>
    <row r="178" spans="1:27" ht="18" customHeight="1">
      <c r="A178" s="50"/>
      <c r="B178" s="49"/>
      <c r="C178" s="58"/>
      <c r="D178" s="59"/>
      <c r="E178" s="61"/>
      <c r="F178" s="60"/>
      <c r="G178" s="60"/>
      <c r="H178" s="49"/>
      <c r="I178" s="49"/>
      <c r="J178" s="58"/>
      <c r="K178" s="58"/>
      <c r="L178" s="59"/>
      <c r="M178" s="61"/>
      <c r="N178" s="60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</row>
    <row r="179" spans="1:27" ht="18" customHeight="1">
      <c r="A179" s="50"/>
      <c r="B179" s="49"/>
      <c r="C179" s="58"/>
      <c r="D179" s="59"/>
      <c r="E179" s="61"/>
      <c r="F179" s="60"/>
      <c r="G179" s="60"/>
      <c r="H179" s="49"/>
      <c r="I179" s="49"/>
      <c r="J179" s="58"/>
      <c r="K179" s="58"/>
      <c r="L179" s="59"/>
      <c r="M179" s="61"/>
      <c r="N179" s="60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</row>
    <row r="180" spans="1:27" ht="18" customHeight="1">
      <c r="A180" s="50"/>
      <c r="B180" s="49"/>
      <c r="C180" s="58"/>
      <c r="D180" s="59"/>
      <c r="E180" s="61"/>
      <c r="F180" s="60"/>
      <c r="G180" s="60"/>
      <c r="H180" s="49"/>
      <c r="I180" s="49"/>
      <c r="J180" s="58"/>
      <c r="K180" s="58"/>
      <c r="L180" s="59"/>
      <c r="M180" s="61"/>
      <c r="N180" s="60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</row>
    <row r="181" spans="1:27" ht="18" customHeight="1">
      <c r="A181" s="50"/>
      <c r="B181" s="49"/>
      <c r="C181" s="58"/>
      <c r="D181" s="59"/>
      <c r="E181" s="61"/>
      <c r="F181" s="60"/>
      <c r="G181" s="60"/>
      <c r="H181" s="49"/>
      <c r="I181" s="49"/>
      <c r="J181" s="58"/>
      <c r="K181" s="58"/>
      <c r="L181" s="59"/>
      <c r="M181" s="61"/>
      <c r="N181" s="60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</row>
    <row r="182" spans="1:27" ht="18" customHeight="1">
      <c r="A182" s="50"/>
      <c r="B182" s="49"/>
      <c r="C182" s="58"/>
      <c r="D182" s="59"/>
      <c r="E182" s="61"/>
      <c r="F182" s="60"/>
      <c r="G182" s="60"/>
      <c r="H182" s="49"/>
      <c r="I182" s="49"/>
      <c r="J182" s="58"/>
      <c r="K182" s="58"/>
      <c r="L182" s="59"/>
      <c r="M182" s="61"/>
      <c r="N182" s="60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</row>
    <row r="183" spans="1:27" ht="18" customHeight="1">
      <c r="A183" s="50"/>
      <c r="B183" s="49"/>
      <c r="C183" s="58"/>
      <c r="D183" s="59"/>
      <c r="E183" s="61"/>
      <c r="F183" s="60"/>
      <c r="G183" s="60"/>
      <c r="H183" s="49"/>
      <c r="I183" s="49"/>
      <c r="J183" s="58"/>
      <c r="K183" s="58"/>
      <c r="L183" s="59"/>
      <c r="M183" s="61"/>
      <c r="N183" s="60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</row>
    <row r="184" spans="1:27" ht="18" customHeight="1">
      <c r="A184" s="50"/>
      <c r="B184" s="49"/>
      <c r="C184" s="58"/>
      <c r="D184" s="59"/>
      <c r="E184" s="61"/>
      <c r="F184" s="60"/>
      <c r="G184" s="60"/>
      <c r="H184" s="49"/>
      <c r="I184" s="49"/>
      <c r="J184" s="58"/>
      <c r="K184" s="58"/>
      <c r="L184" s="59"/>
      <c r="M184" s="61"/>
      <c r="N184" s="60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</row>
    <row r="185" spans="1:27" ht="18" customHeight="1">
      <c r="A185" s="50"/>
      <c r="B185" s="49"/>
      <c r="C185" s="58"/>
      <c r="D185" s="59"/>
      <c r="E185" s="61"/>
      <c r="F185" s="60"/>
      <c r="G185" s="60"/>
      <c r="H185" s="49"/>
      <c r="I185" s="49"/>
      <c r="J185" s="58"/>
      <c r="K185" s="58"/>
      <c r="L185" s="59"/>
      <c r="M185" s="61"/>
      <c r="N185" s="60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</row>
    <row r="186" spans="1:27" ht="18" customHeight="1">
      <c r="A186" s="50"/>
      <c r="B186" s="49"/>
      <c r="C186" s="58"/>
      <c r="D186" s="59"/>
      <c r="E186" s="61"/>
      <c r="F186" s="60"/>
      <c r="G186" s="60"/>
      <c r="H186" s="49"/>
      <c r="I186" s="49"/>
      <c r="J186" s="58"/>
      <c r="K186" s="58"/>
      <c r="L186" s="59"/>
      <c r="M186" s="61"/>
      <c r="N186" s="60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</row>
    <row r="187" spans="1:27" ht="18" customHeight="1">
      <c r="A187" s="50"/>
      <c r="B187" s="49"/>
      <c r="C187" s="58"/>
      <c r="D187" s="59"/>
      <c r="E187" s="61"/>
      <c r="F187" s="60"/>
      <c r="G187" s="60"/>
      <c r="H187" s="49"/>
      <c r="I187" s="49"/>
      <c r="J187" s="58"/>
      <c r="K187" s="58"/>
      <c r="L187" s="59"/>
      <c r="M187" s="61"/>
      <c r="N187" s="60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</row>
    <row r="188" spans="1:27" ht="18" customHeight="1">
      <c r="A188" s="50"/>
      <c r="B188" s="49"/>
      <c r="C188" s="58"/>
      <c r="D188" s="59"/>
      <c r="E188" s="61"/>
      <c r="F188" s="60"/>
      <c r="G188" s="60"/>
      <c r="H188" s="49"/>
      <c r="I188" s="49"/>
      <c r="J188" s="58"/>
      <c r="K188" s="58"/>
      <c r="L188" s="59"/>
      <c r="M188" s="61"/>
      <c r="N188" s="60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</row>
    <row r="189" spans="1:27" ht="18" customHeight="1">
      <c r="A189" s="50"/>
      <c r="B189" s="49"/>
      <c r="C189" s="58"/>
      <c r="D189" s="59"/>
      <c r="E189" s="61"/>
      <c r="F189" s="60"/>
      <c r="G189" s="60"/>
      <c r="H189" s="49"/>
      <c r="I189" s="49"/>
      <c r="J189" s="58"/>
      <c r="K189" s="58"/>
      <c r="L189" s="59"/>
      <c r="M189" s="61"/>
      <c r="N189" s="60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</row>
    <row r="190" spans="1:27" ht="18" customHeight="1">
      <c r="A190" s="50"/>
      <c r="B190" s="49"/>
      <c r="C190" s="58"/>
      <c r="D190" s="59"/>
      <c r="E190" s="61"/>
      <c r="F190" s="60"/>
      <c r="G190" s="60"/>
      <c r="H190" s="49"/>
      <c r="I190" s="49"/>
      <c r="J190" s="58"/>
      <c r="K190" s="58"/>
      <c r="L190" s="59"/>
      <c r="M190" s="61"/>
      <c r="N190" s="60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</row>
    <row r="191" spans="1:27" ht="18" customHeight="1">
      <c r="A191" s="50"/>
      <c r="B191" s="49"/>
      <c r="C191" s="58"/>
      <c r="D191" s="59"/>
      <c r="E191" s="61"/>
      <c r="F191" s="60"/>
      <c r="G191" s="60"/>
      <c r="H191" s="49"/>
      <c r="I191" s="49"/>
      <c r="J191" s="58"/>
      <c r="K191" s="58"/>
      <c r="L191" s="59"/>
      <c r="M191" s="61"/>
      <c r="N191" s="60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</row>
    <row r="192" spans="1:27" ht="18" customHeight="1">
      <c r="A192" s="50"/>
      <c r="B192" s="49"/>
      <c r="C192" s="58"/>
      <c r="D192" s="59"/>
      <c r="E192" s="61"/>
      <c r="F192" s="60"/>
      <c r="G192" s="60"/>
      <c r="H192" s="49"/>
      <c r="I192" s="49"/>
      <c r="J192" s="58"/>
      <c r="K192" s="58"/>
      <c r="L192" s="59"/>
      <c r="M192" s="61"/>
      <c r="N192" s="60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</row>
    <row r="193" spans="1:27" ht="18" customHeight="1">
      <c r="A193" s="50"/>
      <c r="B193" s="49"/>
      <c r="C193" s="58"/>
      <c r="D193" s="59"/>
      <c r="E193" s="61"/>
      <c r="F193" s="60"/>
      <c r="G193" s="60"/>
      <c r="H193" s="49"/>
      <c r="I193" s="49"/>
      <c r="J193" s="58"/>
      <c r="K193" s="58"/>
      <c r="L193" s="59"/>
      <c r="M193" s="61"/>
      <c r="N193" s="60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</row>
    <row r="194" spans="1:27" ht="18" customHeight="1">
      <c r="A194" s="50"/>
      <c r="B194" s="49"/>
      <c r="C194" s="58"/>
      <c r="D194" s="59"/>
      <c r="E194" s="61"/>
      <c r="F194" s="60"/>
      <c r="G194" s="60"/>
      <c r="H194" s="49"/>
      <c r="I194" s="49"/>
      <c r="J194" s="58"/>
      <c r="K194" s="58"/>
      <c r="L194" s="59"/>
      <c r="M194" s="61"/>
      <c r="N194" s="60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</row>
    <row r="195" spans="1:27" ht="18" customHeight="1">
      <c r="A195" s="50"/>
      <c r="B195" s="49"/>
      <c r="C195" s="58"/>
      <c r="D195" s="59"/>
      <c r="E195" s="61"/>
      <c r="F195" s="60"/>
      <c r="G195" s="60"/>
      <c r="H195" s="49"/>
      <c r="I195" s="49"/>
      <c r="J195" s="58"/>
      <c r="K195" s="58"/>
      <c r="L195" s="59"/>
      <c r="M195" s="61"/>
      <c r="N195" s="60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</row>
    <row r="196" spans="1:27" ht="18" customHeight="1">
      <c r="A196" s="50"/>
      <c r="B196" s="49"/>
      <c r="C196" s="58"/>
      <c r="D196" s="59"/>
      <c r="E196" s="61"/>
      <c r="F196" s="60"/>
      <c r="G196" s="60"/>
      <c r="H196" s="49"/>
      <c r="I196" s="49"/>
      <c r="J196" s="58"/>
      <c r="K196" s="58"/>
      <c r="L196" s="59"/>
      <c r="M196" s="61"/>
      <c r="N196" s="60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</row>
    <row r="197" spans="1:27" ht="18" customHeight="1">
      <c r="A197" s="50"/>
      <c r="B197" s="49"/>
      <c r="C197" s="58"/>
      <c r="D197" s="59"/>
      <c r="E197" s="61"/>
      <c r="F197" s="60"/>
      <c r="G197" s="60"/>
      <c r="H197" s="49"/>
      <c r="I197" s="49"/>
      <c r="J197" s="58"/>
      <c r="K197" s="58"/>
      <c r="L197" s="59"/>
      <c r="M197" s="61"/>
      <c r="N197" s="60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</row>
    <row r="198" spans="1:27" ht="18" customHeight="1">
      <c r="A198" s="50"/>
      <c r="B198" s="49"/>
      <c r="C198" s="58"/>
      <c r="D198" s="59"/>
      <c r="E198" s="61"/>
      <c r="F198" s="60"/>
      <c r="G198" s="60"/>
      <c r="H198" s="49"/>
      <c r="I198" s="49"/>
      <c r="J198" s="58"/>
      <c r="K198" s="58"/>
      <c r="L198" s="59"/>
      <c r="M198" s="61"/>
      <c r="N198" s="60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</row>
    <row r="199" spans="1:27" ht="18" customHeight="1">
      <c r="A199" s="50"/>
      <c r="B199" s="49"/>
      <c r="C199" s="58"/>
      <c r="D199" s="59"/>
      <c r="E199" s="61"/>
      <c r="F199" s="60"/>
      <c r="G199" s="60"/>
      <c r="H199" s="49"/>
      <c r="I199" s="49"/>
      <c r="J199" s="58"/>
      <c r="K199" s="58"/>
      <c r="L199" s="59"/>
      <c r="M199" s="61"/>
      <c r="N199" s="60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</row>
    <row r="200" spans="1:27" ht="18" customHeight="1">
      <c r="A200" s="50"/>
      <c r="B200" s="49"/>
      <c r="C200" s="58"/>
      <c r="D200" s="59"/>
      <c r="E200" s="61"/>
      <c r="F200" s="60"/>
      <c r="G200" s="60"/>
      <c r="H200" s="49"/>
      <c r="I200" s="49"/>
      <c r="J200" s="58"/>
      <c r="K200" s="58"/>
      <c r="L200" s="59"/>
      <c r="M200" s="61"/>
      <c r="N200" s="60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</row>
    <row r="201" spans="1:27" ht="18" customHeight="1">
      <c r="A201" s="50"/>
      <c r="B201" s="49"/>
      <c r="C201" s="58"/>
      <c r="D201" s="59"/>
      <c r="E201" s="61"/>
      <c r="F201" s="60"/>
      <c r="G201" s="60"/>
      <c r="H201" s="49"/>
      <c r="I201" s="49"/>
      <c r="J201" s="58"/>
      <c r="K201" s="58"/>
      <c r="L201" s="59"/>
      <c r="M201" s="61"/>
      <c r="N201" s="60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</row>
    <row r="202" spans="1:27" ht="18" customHeight="1">
      <c r="A202" s="50"/>
      <c r="B202" s="49"/>
      <c r="C202" s="58"/>
      <c r="D202" s="59"/>
      <c r="E202" s="61"/>
      <c r="F202" s="60"/>
      <c r="G202" s="60"/>
      <c r="H202" s="49"/>
      <c r="I202" s="49"/>
      <c r="J202" s="58"/>
      <c r="K202" s="58"/>
      <c r="L202" s="59"/>
      <c r="M202" s="61"/>
      <c r="N202" s="60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</row>
    <row r="203" spans="1:27" ht="18" customHeight="1">
      <c r="A203" s="50"/>
      <c r="B203" s="49"/>
      <c r="C203" s="58"/>
      <c r="D203" s="59"/>
      <c r="E203" s="61"/>
      <c r="F203" s="60"/>
      <c r="G203" s="60"/>
      <c r="H203" s="49"/>
      <c r="I203" s="49"/>
      <c r="J203" s="58"/>
      <c r="K203" s="58"/>
      <c r="L203" s="59"/>
      <c r="M203" s="61"/>
      <c r="N203" s="60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</row>
    <row r="204" spans="1:27" ht="18" customHeight="1">
      <c r="A204" s="50"/>
      <c r="B204" s="49"/>
      <c r="C204" s="58"/>
      <c r="D204" s="59"/>
      <c r="E204" s="61"/>
      <c r="F204" s="60"/>
      <c r="G204" s="60"/>
      <c r="H204" s="49"/>
      <c r="I204" s="49"/>
      <c r="J204" s="58"/>
      <c r="K204" s="58"/>
      <c r="L204" s="59"/>
      <c r="M204" s="61"/>
      <c r="N204" s="60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</row>
    <row r="205" spans="1:27" ht="18" customHeight="1">
      <c r="A205" s="50"/>
      <c r="B205" s="49"/>
      <c r="C205" s="58"/>
      <c r="D205" s="59"/>
      <c r="E205" s="61"/>
      <c r="F205" s="60"/>
      <c r="G205" s="60"/>
      <c r="H205" s="49"/>
      <c r="I205" s="49"/>
      <c r="J205" s="58"/>
      <c r="K205" s="58"/>
      <c r="L205" s="59"/>
      <c r="M205" s="61"/>
      <c r="N205" s="60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</row>
    <row r="206" spans="1:27" ht="18" customHeight="1">
      <c r="A206" s="50"/>
      <c r="B206" s="49"/>
      <c r="C206" s="58"/>
      <c r="D206" s="59"/>
      <c r="E206" s="61"/>
      <c r="F206" s="60"/>
      <c r="G206" s="60"/>
      <c r="H206" s="49"/>
      <c r="I206" s="49"/>
      <c r="J206" s="58"/>
      <c r="K206" s="58"/>
      <c r="L206" s="59"/>
      <c r="M206" s="61"/>
      <c r="N206" s="60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</row>
    <row r="207" spans="1:27" ht="18" customHeight="1">
      <c r="A207" s="50"/>
      <c r="B207" s="49"/>
      <c r="C207" s="58"/>
      <c r="D207" s="59"/>
      <c r="E207" s="61"/>
      <c r="F207" s="60"/>
      <c r="G207" s="60"/>
      <c r="H207" s="49"/>
      <c r="I207" s="49"/>
      <c r="J207" s="58"/>
      <c r="K207" s="58"/>
      <c r="L207" s="59"/>
      <c r="M207" s="61"/>
      <c r="N207" s="60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</row>
    <row r="208" spans="1:27" ht="18" customHeight="1">
      <c r="A208" s="50"/>
      <c r="B208" s="49"/>
      <c r="C208" s="58"/>
      <c r="D208" s="59"/>
      <c r="E208" s="61"/>
      <c r="F208" s="60"/>
      <c r="G208" s="60"/>
      <c r="H208" s="49"/>
      <c r="I208" s="49"/>
      <c r="J208" s="58"/>
      <c r="K208" s="58"/>
      <c r="L208" s="59"/>
      <c r="M208" s="61"/>
      <c r="N208" s="60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</row>
    <row r="209" spans="1:27" ht="18" customHeight="1">
      <c r="A209" s="50"/>
      <c r="B209" s="49"/>
      <c r="C209" s="58"/>
      <c r="D209" s="59"/>
      <c r="E209" s="61"/>
      <c r="F209" s="60"/>
      <c r="G209" s="60"/>
      <c r="H209" s="49"/>
      <c r="I209" s="49"/>
      <c r="J209" s="58"/>
      <c r="K209" s="58"/>
      <c r="L209" s="59"/>
      <c r="M209" s="61"/>
      <c r="N209" s="60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</row>
    <row r="210" spans="1:27" ht="18" customHeight="1">
      <c r="A210" s="50"/>
      <c r="B210" s="49"/>
      <c r="C210" s="58"/>
      <c r="D210" s="59"/>
      <c r="E210" s="61"/>
      <c r="F210" s="60"/>
      <c r="G210" s="60"/>
      <c r="H210" s="49"/>
      <c r="I210" s="49"/>
      <c r="J210" s="58"/>
      <c r="K210" s="58"/>
      <c r="L210" s="59"/>
      <c r="M210" s="61"/>
      <c r="N210" s="60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</row>
    <row r="211" spans="1:27" ht="18" customHeight="1">
      <c r="A211" s="50"/>
      <c r="B211" s="49"/>
      <c r="C211" s="58"/>
      <c r="D211" s="59"/>
      <c r="E211" s="61"/>
      <c r="F211" s="60"/>
      <c r="G211" s="60"/>
      <c r="H211" s="49"/>
      <c r="I211" s="49"/>
      <c r="J211" s="58"/>
      <c r="K211" s="58"/>
      <c r="L211" s="59"/>
      <c r="M211" s="61"/>
      <c r="N211" s="60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</row>
    <row r="212" spans="1:27" ht="18" customHeight="1">
      <c r="A212" s="50"/>
      <c r="B212" s="49"/>
      <c r="C212" s="58"/>
      <c r="D212" s="59"/>
      <c r="E212" s="61"/>
      <c r="F212" s="60"/>
      <c r="G212" s="60"/>
      <c r="H212" s="49"/>
      <c r="I212" s="49"/>
      <c r="J212" s="58"/>
      <c r="K212" s="58"/>
      <c r="L212" s="59"/>
      <c r="M212" s="61"/>
      <c r="N212" s="60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</row>
    <row r="213" spans="1:27" ht="18" customHeight="1">
      <c r="A213" s="50"/>
      <c r="B213" s="49"/>
      <c r="C213" s="58"/>
      <c r="D213" s="59"/>
      <c r="E213" s="61"/>
      <c r="F213" s="60"/>
      <c r="G213" s="60"/>
      <c r="H213" s="49"/>
      <c r="I213" s="49"/>
      <c r="J213" s="58"/>
      <c r="K213" s="58"/>
      <c r="L213" s="59"/>
      <c r="M213" s="61"/>
      <c r="N213" s="60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</row>
    <row r="214" spans="1:27" ht="18" customHeight="1">
      <c r="A214" s="50"/>
      <c r="B214" s="49"/>
      <c r="C214" s="58"/>
      <c r="D214" s="59"/>
      <c r="E214" s="61"/>
      <c r="F214" s="60"/>
      <c r="G214" s="60"/>
      <c r="H214" s="49"/>
      <c r="I214" s="49"/>
      <c r="J214" s="58"/>
      <c r="K214" s="58"/>
      <c r="L214" s="59"/>
      <c r="M214" s="61"/>
      <c r="N214" s="60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</row>
    <row r="215" spans="1:27" ht="18" customHeight="1">
      <c r="A215" s="50"/>
      <c r="B215" s="49"/>
      <c r="C215" s="58"/>
      <c r="D215" s="59"/>
      <c r="E215" s="61"/>
      <c r="F215" s="60"/>
      <c r="G215" s="60"/>
      <c r="H215" s="49"/>
      <c r="I215" s="49"/>
      <c r="J215" s="58"/>
      <c r="K215" s="58"/>
      <c r="L215" s="59"/>
      <c r="M215" s="61"/>
      <c r="N215" s="60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</row>
    <row r="216" spans="1:27" ht="18" customHeight="1">
      <c r="A216" s="50"/>
      <c r="B216" s="49"/>
      <c r="C216" s="58"/>
      <c r="D216" s="59"/>
      <c r="E216" s="61"/>
      <c r="F216" s="60"/>
      <c r="G216" s="60"/>
      <c r="H216" s="49"/>
      <c r="I216" s="49"/>
      <c r="J216" s="58"/>
      <c r="K216" s="58"/>
      <c r="L216" s="59"/>
      <c r="M216" s="61"/>
      <c r="N216" s="60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</row>
    <row r="217" spans="1:27" ht="18" customHeight="1">
      <c r="A217" s="50"/>
      <c r="B217" s="49"/>
      <c r="C217" s="58"/>
      <c r="D217" s="59"/>
      <c r="E217" s="61"/>
      <c r="F217" s="60"/>
      <c r="G217" s="60"/>
      <c r="H217" s="49"/>
      <c r="I217" s="49"/>
      <c r="J217" s="58"/>
      <c r="K217" s="58"/>
      <c r="L217" s="59"/>
      <c r="M217" s="61"/>
      <c r="N217" s="60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</row>
    <row r="218" spans="1:27" ht="18" customHeight="1">
      <c r="A218" s="50"/>
      <c r="B218" s="49"/>
      <c r="C218" s="58"/>
      <c r="D218" s="59"/>
      <c r="E218" s="61"/>
      <c r="F218" s="60"/>
      <c r="G218" s="60"/>
      <c r="H218" s="49"/>
      <c r="I218" s="49"/>
      <c r="J218" s="58"/>
      <c r="K218" s="58"/>
      <c r="L218" s="59"/>
      <c r="M218" s="61"/>
      <c r="N218" s="60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</row>
    <row r="219" spans="1:27" ht="18" customHeight="1">
      <c r="A219" s="50"/>
      <c r="B219" s="49"/>
      <c r="C219" s="58"/>
      <c r="D219" s="59"/>
      <c r="E219" s="61"/>
      <c r="F219" s="60"/>
      <c r="G219" s="60"/>
      <c r="H219" s="49"/>
      <c r="I219" s="49"/>
      <c r="J219" s="58"/>
      <c r="K219" s="58"/>
      <c r="L219" s="59"/>
      <c r="M219" s="61"/>
      <c r="N219" s="60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</row>
    <row r="220" spans="1:27" ht="18" customHeight="1">
      <c r="A220" s="50"/>
      <c r="B220" s="49"/>
      <c r="C220" s="58"/>
      <c r="D220" s="59"/>
      <c r="E220" s="61"/>
      <c r="F220" s="60"/>
      <c r="G220" s="60"/>
      <c r="H220" s="49"/>
      <c r="I220" s="49"/>
      <c r="J220" s="58"/>
      <c r="K220" s="58"/>
      <c r="L220" s="59"/>
      <c r="M220" s="61"/>
      <c r="N220" s="60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</row>
    <row r="221" spans="1:27" ht="18" customHeight="1">
      <c r="A221" s="50"/>
      <c r="B221" s="49"/>
      <c r="C221" s="58"/>
      <c r="D221" s="59"/>
      <c r="E221" s="61"/>
      <c r="F221" s="60"/>
      <c r="G221" s="60"/>
      <c r="H221" s="49"/>
      <c r="I221" s="49"/>
      <c r="J221" s="58"/>
      <c r="K221" s="58"/>
      <c r="L221" s="59"/>
      <c r="M221" s="61"/>
      <c r="N221" s="60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</row>
    <row r="222" spans="1:27" ht="18" customHeight="1">
      <c r="A222" s="50"/>
      <c r="B222" s="49"/>
      <c r="C222" s="58"/>
      <c r="D222" s="59"/>
      <c r="E222" s="61"/>
      <c r="F222" s="60"/>
      <c r="G222" s="60"/>
      <c r="H222" s="49"/>
      <c r="I222" s="49"/>
      <c r="J222" s="58"/>
      <c r="K222" s="58"/>
      <c r="L222" s="59"/>
      <c r="M222" s="61"/>
      <c r="N222" s="60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</row>
    <row r="223" spans="1:27" ht="18" customHeight="1">
      <c r="A223" s="50"/>
      <c r="B223" s="49"/>
      <c r="C223" s="58"/>
      <c r="D223" s="59"/>
      <c r="E223" s="61"/>
      <c r="F223" s="60"/>
      <c r="G223" s="60"/>
      <c r="H223" s="49"/>
      <c r="I223" s="49"/>
      <c r="J223" s="58"/>
      <c r="K223" s="58"/>
      <c r="L223" s="59"/>
      <c r="M223" s="61"/>
      <c r="N223" s="60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</row>
    <row r="224" spans="1:27" ht="18" customHeight="1">
      <c r="A224" s="50"/>
      <c r="B224" s="49"/>
      <c r="C224" s="58"/>
      <c r="D224" s="59"/>
      <c r="E224" s="61"/>
      <c r="F224" s="60"/>
      <c r="G224" s="60"/>
      <c r="H224" s="49"/>
      <c r="I224" s="49"/>
      <c r="J224" s="58"/>
      <c r="K224" s="58"/>
      <c r="L224" s="59"/>
      <c r="M224" s="61"/>
      <c r="N224" s="60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</row>
    <row r="225" spans="1:27" ht="18" customHeight="1">
      <c r="A225" s="50"/>
      <c r="B225" s="49"/>
      <c r="C225" s="58"/>
      <c r="D225" s="59"/>
      <c r="E225" s="61"/>
      <c r="F225" s="60"/>
      <c r="G225" s="60"/>
      <c r="H225" s="49"/>
      <c r="I225" s="49"/>
      <c r="J225" s="58"/>
      <c r="K225" s="58"/>
      <c r="L225" s="59"/>
      <c r="M225" s="61"/>
      <c r="N225" s="60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</row>
    <row r="226" spans="1:27" ht="18" customHeight="1">
      <c r="A226" s="50"/>
      <c r="B226" s="49"/>
      <c r="C226" s="58"/>
      <c r="D226" s="59"/>
      <c r="E226" s="61"/>
      <c r="F226" s="60"/>
      <c r="G226" s="60"/>
      <c r="H226" s="49"/>
      <c r="I226" s="49"/>
      <c r="J226" s="58"/>
      <c r="K226" s="58"/>
      <c r="L226" s="59"/>
      <c r="M226" s="61"/>
      <c r="N226" s="60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</row>
    <row r="227" spans="1:27" ht="18" customHeight="1">
      <c r="A227" s="50"/>
      <c r="B227" s="49"/>
      <c r="C227" s="58"/>
      <c r="D227" s="59"/>
      <c r="E227" s="61"/>
      <c r="F227" s="60"/>
      <c r="G227" s="60"/>
      <c r="H227" s="49"/>
      <c r="I227" s="49"/>
      <c r="J227" s="58"/>
      <c r="K227" s="58"/>
      <c r="L227" s="59"/>
      <c r="M227" s="61"/>
      <c r="N227" s="60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</row>
    <row r="228" spans="1:27" ht="18" customHeight="1">
      <c r="A228" s="50"/>
      <c r="B228" s="49"/>
      <c r="C228" s="58"/>
      <c r="D228" s="59"/>
      <c r="E228" s="61"/>
      <c r="F228" s="60"/>
      <c r="G228" s="60"/>
      <c r="H228" s="49"/>
      <c r="I228" s="49"/>
      <c r="J228" s="58"/>
      <c r="K228" s="58"/>
      <c r="L228" s="59"/>
      <c r="M228" s="61"/>
      <c r="N228" s="60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</row>
    <row r="229" spans="1:27" ht="18" customHeight="1">
      <c r="A229" s="50"/>
      <c r="B229" s="49"/>
      <c r="C229" s="58"/>
      <c r="D229" s="59"/>
      <c r="E229" s="61"/>
      <c r="F229" s="60"/>
      <c r="G229" s="60"/>
      <c r="H229" s="49"/>
      <c r="I229" s="49"/>
      <c r="J229" s="58"/>
      <c r="K229" s="58"/>
      <c r="L229" s="59"/>
      <c r="M229" s="61"/>
      <c r="N229" s="60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</row>
    <row r="230" spans="1:27" ht="18" customHeight="1">
      <c r="A230" s="50"/>
      <c r="B230" s="49"/>
      <c r="C230" s="58"/>
      <c r="D230" s="59"/>
      <c r="E230" s="61"/>
      <c r="F230" s="60"/>
      <c r="G230" s="60"/>
      <c r="H230" s="49"/>
      <c r="I230" s="49"/>
      <c r="J230" s="58"/>
      <c r="K230" s="58"/>
      <c r="L230" s="59"/>
      <c r="M230" s="61"/>
      <c r="N230" s="60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</row>
    <row r="231" spans="1:27" ht="18" customHeight="1">
      <c r="A231" s="50"/>
      <c r="B231" s="49"/>
      <c r="C231" s="58"/>
      <c r="D231" s="59"/>
      <c r="E231" s="61"/>
      <c r="F231" s="60"/>
      <c r="G231" s="60"/>
      <c r="H231" s="49"/>
      <c r="I231" s="49"/>
      <c r="J231" s="58"/>
      <c r="K231" s="58"/>
      <c r="L231" s="59"/>
      <c r="M231" s="61"/>
      <c r="N231" s="60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</row>
    <row r="232" spans="1:27" ht="18" customHeight="1">
      <c r="A232" s="50"/>
      <c r="B232" s="49"/>
      <c r="C232" s="58"/>
      <c r="D232" s="59"/>
      <c r="E232" s="61"/>
      <c r="F232" s="60"/>
      <c r="G232" s="60"/>
      <c r="H232" s="49"/>
      <c r="I232" s="49"/>
      <c r="J232" s="58"/>
      <c r="K232" s="58"/>
      <c r="L232" s="59"/>
      <c r="M232" s="61"/>
      <c r="N232" s="60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</row>
    <row r="233" spans="1:27" ht="18" customHeight="1">
      <c r="A233" s="50"/>
      <c r="B233" s="49"/>
      <c r="C233" s="58"/>
      <c r="D233" s="59"/>
      <c r="E233" s="61"/>
      <c r="F233" s="60"/>
      <c r="G233" s="60"/>
      <c r="H233" s="49"/>
      <c r="I233" s="49"/>
      <c r="J233" s="58"/>
      <c r="K233" s="58"/>
      <c r="L233" s="59"/>
      <c r="M233" s="61"/>
      <c r="N233" s="60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</row>
    <row r="234" spans="1:27" ht="18" customHeight="1">
      <c r="A234" s="50"/>
      <c r="B234" s="49"/>
      <c r="C234" s="58"/>
      <c r="D234" s="59"/>
      <c r="E234" s="61"/>
      <c r="F234" s="60"/>
      <c r="G234" s="60"/>
      <c r="H234" s="49"/>
      <c r="I234" s="49"/>
      <c r="J234" s="58"/>
      <c r="K234" s="58"/>
      <c r="L234" s="59"/>
      <c r="M234" s="61"/>
      <c r="N234" s="60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</row>
    <row r="235" spans="1:27" ht="18" customHeight="1">
      <c r="A235" s="50"/>
      <c r="B235" s="49"/>
      <c r="C235" s="58"/>
      <c r="D235" s="59"/>
      <c r="E235" s="61"/>
      <c r="F235" s="60"/>
      <c r="G235" s="60"/>
      <c r="H235" s="49"/>
      <c r="I235" s="49"/>
      <c r="J235" s="58"/>
      <c r="K235" s="58"/>
      <c r="L235" s="59"/>
      <c r="M235" s="61"/>
      <c r="N235" s="60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</row>
    <row r="236" spans="1:27" ht="18" customHeight="1">
      <c r="A236" s="50"/>
      <c r="B236" s="49"/>
      <c r="C236" s="58"/>
      <c r="D236" s="59"/>
      <c r="E236" s="61"/>
      <c r="F236" s="60"/>
      <c r="G236" s="60"/>
      <c r="H236" s="49"/>
      <c r="I236" s="49"/>
      <c r="J236" s="58"/>
      <c r="K236" s="58"/>
      <c r="L236" s="59"/>
      <c r="M236" s="61"/>
      <c r="N236" s="60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</row>
    <row r="237" spans="1:27" ht="18" customHeight="1">
      <c r="A237" s="50"/>
      <c r="B237" s="49"/>
      <c r="C237" s="58"/>
      <c r="D237" s="59"/>
      <c r="E237" s="61"/>
      <c r="F237" s="60"/>
      <c r="G237" s="60"/>
      <c r="H237" s="49"/>
      <c r="I237" s="49"/>
      <c r="J237" s="58"/>
      <c r="K237" s="58"/>
      <c r="L237" s="59"/>
      <c r="M237" s="61"/>
      <c r="N237" s="60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</row>
    <row r="238" spans="1:27" ht="18" customHeight="1">
      <c r="A238" s="50"/>
      <c r="B238" s="49"/>
      <c r="C238" s="58"/>
      <c r="D238" s="59"/>
      <c r="E238" s="61"/>
      <c r="F238" s="60"/>
      <c r="G238" s="60"/>
      <c r="H238" s="49"/>
      <c r="I238" s="49"/>
      <c r="J238" s="58"/>
      <c r="K238" s="58"/>
      <c r="L238" s="59"/>
      <c r="M238" s="61"/>
      <c r="N238" s="60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</row>
    <row r="239" spans="1:27" ht="18" customHeight="1">
      <c r="A239" s="50"/>
      <c r="B239" s="49"/>
      <c r="C239" s="58"/>
      <c r="D239" s="59"/>
      <c r="E239" s="61"/>
      <c r="F239" s="60"/>
      <c r="G239" s="60"/>
      <c r="H239" s="49"/>
      <c r="I239" s="49"/>
      <c r="J239" s="58"/>
      <c r="K239" s="58"/>
      <c r="L239" s="59"/>
      <c r="M239" s="61"/>
      <c r="N239" s="60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</row>
    <row r="240" spans="1:27" ht="18" customHeight="1">
      <c r="A240" s="50"/>
      <c r="B240" s="49"/>
      <c r="C240" s="58"/>
      <c r="D240" s="59"/>
      <c r="E240" s="61"/>
      <c r="F240" s="60"/>
      <c r="G240" s="60"/>
      <c r="H240" s="49"/>
      <c r="I240" s="49"/>
      <c r="J240" s="58"/>
      <c r="K240" s="58"/>
      <c r="L240" s="59"/>
      <c r="M240" s="61"/>
      <c r="N240" s="60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</row>
    <row r="241" spans="1:27" ht="18" customHeight="1">
      <c r="A241" s="50"/>
      <c r="B241" s="49"/>
      <c r="C241" s="58"/>
      <c r="D241" s="59"/>
      <c r="E241" s="61"/>
      <c r="F241" s="60"/>
      <c r="G241" s="60"/>
      <c r="H241" s="49"/>
      <c r="I241" s="49"/>
      <c r="J241" s="58"/>
      <c r="K241" s="58"/>
      <c r="L241" s="59"/>
      <c r="M241" s="61"/>
      <c r="N241" s="60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</row>
    <row r="242" spans="1:27" ht="18" customHeight="1">
      <c r="A242" s="50"/>
      <c r="B242" s="49"/>
      <c r="C242" s="58"/>
      <c r="D242" s="59"/>
      <c r="E242" s="61"/>
      <c r="F242" s="60"/>
      <c r="G242" s="60"/>
      <c r="H242" s="49"/>
      <c r="I242" s="49"/>
      <c r="J242" s="58"/>
      <c r="K242" s="58"/>
      <c r="L242" s="59"/>
      <c r="M242" s="61"/>
      <c r="N242" s="60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</row>
    <row r="243" spans="1:27" ht="18" customHeight="1">
      <c r="A243" s="50"/>
      <c r="B243" s="49"/>
      <c r="C243" s="58"/>
      <c r="D243" s="59"/>
      <c r="E243" s="61"/>
      <c r="F243" s="60"/>
      <c r="G243" s="60"/>
      <c r="H243" s="49"/>
      <c r="I243" s="49"/>
      <c r="J243" s="58"/>
      <c r="K243" s="58"/>
      <c r="L243" s="59"/>
      <c r="M243" s="61"/>
      <c r="N243" s="60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</row>
    <row r="244" spans="1:27" ht="18" customHeight="1">
      <c r="A244" s="50"/>
      <c r="B244" s="49"/>
      <c r="C244" s="58"/>
      <c r="D244" s="59"/>
      <c r="E244" s="61"/>
      <c r="F244" s="60"/>
      <c r="G244" s="60"/>
      <c r="H244" s="49"/>
      <c r="I244" s="49"/>
      <c r="J244" s="58"/>
      <c r="K244" s="58"/>
      <c r="L244" s="59"/>
      <c r="M244" s="61"/>
      <c r="N244" s="60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</row>
    <row r="245" spans="1:27" ht="18" customHeight="1">
      <c r="A245" s="50"/>
      <c r="B245" s="49"/>
      <c r="C245" s="58"/>
      <c r="D245" s="59"/>
      <c r="E245" s="61"/>
      <c r="F245" s="60"/>
      <c r="G245" s="60"/>
      <c r="H245" s="49"/>
      <c r="I245" s="49"/>
      <c r="J245" s="58"/>
      <c r="K245" s="58"/>
      <c r="L245" s="59"/>
      <c r="M245" s="61"/>
      <c r="N245" s="60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</row>
    <row r="246" spans="1:27" ht="18" customHeight="1">
      <c r="A246" s="50"/>
      <c r="B246" s="49"/>
      <c r="C246" s="58"/>
      <c r="D246" s="59"/>
      <c r="E246" s="61"/>
      <c r="F246" s="60"/>
      <c r="G246" s="60"/>
      <c r="H246" s="49"/>
      <c r="I246" s="49"/>
      <c r="J246" s="58"/>
      <c r="K246" s="58"/>
      <c r="L246" s="59"/>
      <c r="M246" s="61"/>
      <c r="N246" s="60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</row>
    <row r="247" spans="1:27" ht="18" customHeight="1">
      <c r="A247" s="50"/>
      <c r="B247" s="49"/>
      <c r="C247" s="58"/>
      <c r="D247" s="59"/>
      <c r="E247" s="61"/>
      <c r="F247" s="60"/>
      <c r="G247" s="60"/>
      <c r="H247" s="49"/>
      <c r="I247" s="49"/>
      <c r="J247" s="58"/>
      <c r="K247" s="58"/>
      <c r="L247" s="59"/>
      <c r="M247" s="61"/>
      <c r="N247" s="60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</row>
    <row r="248" spans="1:27" ht="18" customHeight="1">
      <c r="A248" s="50"/>
      <c r="B248" s="49"/>
      <c r="C248" s="58"/>
      <c r="D248" s="59"/>
      <c r="E248" s="61"/>
      <c r="F248" s="60"/>
      <c r="G248" s="60"/>
      <c r="H248" s="49"/>
      <c r="I248" s="49"/>
      <c r="J248" s="58"/>
      <c r="K248" s="58"/>
      <c r="L248" s="59"/>
      <c r="M248" s="61"/>
      <c r="N248" s="60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</row>
    <row r="249" spans="1:27" ht="18" customHeight="1">
      <c r="A249" s="50"/>
      <c r="B249" s="49"/>
      <c r="C249" s="58"/>
      <c r="D249" s="59"/>
      <c r="E249" s="61"/>
      <c r="F249" s="60"/>
      <c r="G249" s="60"/>
      <c r="H249" s="49"/>
      <c r="I249" s="49"/>
      <c r="J249" s="58"/>
      <c r="K249" s="58"/>
      <c r="L249" s="59"/>
      <c r="M249" s="61"/>
      <c r="N249" s="60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</row>
    <row r="250" spans="1:27" ht="18" customHeight="1">
      <c r="A250" s="50"/>
      <c r="B250" s="49"/>
      <c r="C250" s="58"/>
      <c r="D250" s="59"/>
      <c r="E250" s="61"/>
      <c r="F250" s="60"/>
      <c r="G250" s="60"/>
      <c r="H250" s="49"/>
      <c r="I250" s="49"/>
      <c r="J250" s="58"/>
      <c r="K250" s="58"/>
      <c r="L250" s="59"/>
      <c r="M250" s="61"/>
      <c r="N250" s="60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</row>
    <row r="251" spans="1:27" ht="18" customHeight="1">
      <c r="A251" s="50"/>
      <c r="B251" s="49"/>
      <c r="C251" s="58"/>
      <c r="D251" s="59"/>
      <c r="E251" s="61"/>
      <c r="F251" s="60"/>
      <c r="G251" s="60"/>
      <c r="H251" s="49"/>
      <c r="I251" s="49"/>
      <c r="J251" s="58"/>
      <c r="K251" s="58"/>
      <c r="L251" s="59"/>
      <c r="M251" s="61"/>
      <c r="N251" s="60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</row>
    <row r="252" spans="1:27" ht="18" customHeight="1">
      <c r="A252" s="50"/>
      <c r="B252" s="49"/>
      <c r="C252" s="58"/>
      <c r="D252" s="59"/>
      <c r="E252" s="61"/>
      <c r="F252" s="60"/>
      <c r="G252" s="60"/>
      <c r="H252" s="49"/>
      <c r="I252" s="49"/>
      <c r="J252" s="58"/>
      <c r="K252" s="58"/>
      <c r="L252" s="59"/>
      <c r="M252" s="61"/>
      <c r="N252" s="60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</row>
    <row r="253" spans="1:27" ht="18" customHeight="1">
      <c r="A253" s="50"/>
      <c r="B253" s="49"/>
      <c r="C253" s="58"/>
      <c r="D253" s="59"/>
      <c r="E253" s="61"/>
      <c r="F253" s="60"/>
      <c r="G253" s="60"/>
      <c r="H253" s="49"/>
      <c r="I253" s="49"/>
      <c r="J253" s="58"/>
      <c r="K253" s="58"/>
      <c r="L253" s="59"/>
      <c r="M253" s="61"/>
      <c r="N253" s="60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</row>
    <row r="254" spans="1:27" ht="18" customHeight="1">
      <c r="A254" s="50"/>
      <c r="B254" s="49"/>
      <c r="C254" s="58"/>
      <c r="D254" s="59"/>
      <c r="E254" s="61"/>
      <c r="F254" s="60"/>
      <c r="G254" s="60"/>
      <c r="H254" s="49"/>
      <c r="I254" s="49"/>
      <c r="J254" s="58"/>
      <c r="K254" s="58"/>
      <c r="L254" s="59"/>
      <c r="M254" s="61"/>
      <c r="N254" s="60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</row>
    <row r="255" spans="1:27" ht="18" customHeight="1">
      <c r="A255" s="50"/>
      <c r="B255" s="49"/>
      <c r="C255" s="58"/>
      <c r="D255" s="59"/>
      <c r="E255" s="61"/>
      <c r="F255" s="60"/>
      <c r="G255" s="60"/>
      <c r="H255" s="49"/>
      <c r="I255" s="49"/>
      <c r="J255" s="58"/>
      <c r="K255" s="58"/>
      <c r="L255" s="59"/>
      <c r="M255" s="61"/>
      <c r="N255" s="60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</row>
    <row r="256" spans="1:27" ht="18" customHeight="1">
      <c r="A256" s="50"/>
      <c r="B256" s="49"/>
      <c r="C256" s="58"/>
      <c r="D256" s="59"/>
      <c r="E256" s="61"/>
      <c r="F256" s="60"/>
      <c r="G256" s="60"/>
      <c r="H256" s="49"/>
      <c r="I256" s="49"/>
      <c r="J256" s="58"/>
      <c r="K256" s="58"/>
      <c r="L256" s="59"/>
      <c r="M256" s="61"/>
      <c r="N256" s="60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</row>
    <row r="257" spans="1:27" ht="18" customHeight="1">
      <c r="A257" s="50"/>
      <c r="B257" s="49"/>
      <c r="C257" s="58"/>
      <c r="D257" s="59"/>
      <c r="E257" s="61"/>
      <c r="F257" s="60"/>
      <c r="G257" s="60"/>
      <c r="H257" s="49"/>
      <c r="I257" s="49"/>
      <c r="J257" s="58"/>
      <c r="K257" s="58"/>
      <c r="L257" s="59"/>
      <c r="M257" s="61"/>
      <c r="N257" s="60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</row>
    <row r="258" spans="1:27" ht="18" customHeight="1">
      <c r="A258" s="50"/>
      <c r="B258" s="49"/>
      <c r="C258" s="58"/>
      <c r="D258" s="59"/>
      <c r="E258" s="61"/>
      <c r="F258" s="60"/>
      <c r="G258" s="60"/>
      <c r="H258" s="49"/>
      <c r="I258" s="49"/>
      <c r="J258" s="58"/>
      <c r="K258" s="58"/>
      <c r="L258" s="59"/>
      <c r="M258" s="61"/>
      <c r="N258" s="60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</row>
    <row r="259" spans="1:27" ht="18" customHeight="1">
      <c r="A259" s="50"/>
      <c r="B259" s="49"/>
      <c r="C259" s="58"/>
      <c r="D259" s="59"/>
      <c r="E259" s="61"/>
      <c r="F259" s="60"/>
      <c r="G259" s="60"/>
      <c r="H259" s="49"/>
      <c r="I259" s="49"/>
      <c r="J259" s="58"/>
      <c r="K259" s="58"/>
      <c r="L259" s="59"/>
      <c r="M259" s="61"/>
      <c r="N259" s="60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</row>
    <row r="260" spans="1:27" ht="18" customHeight="1">
      <c r="A260" s="50"/>
      <c r="B260" s="49"/>
      <c r="C260" s="58"/>
      <c r="D260" s="59"/>
      <c r="E260" s="61"/>
      <c r="F260" s="60"/>
      <c r="G260" s="60"/>
      <c r="H260" s="49"/>
      <c r="I260" s="49"/>
      <c r="J260" s="58"/>
      <c r="K260" s="58"/>
      <c r="L260" s="59"/>
      <c r="M260" s="61"/>
      <c r="N260" s="60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</row>
    <row r="261" spans="1:27" ht="18" customHeight="1">
      <c r="A261" s="50"/>
      <c r="B261" s="49"/>
      <c r="C261" s="58"/>
      <c r="D261" s="59"/>
      <c r="E261" s="61"/>
      <c r="F261" s="60"/>
      <c r="G261" s="60"/>
      <c r="H261" s="49"/>
      <c r="I261" s="49"/>
      <c r="J261" s="58"/>
      <c r="K261" s="58"/>
      <c r="L261" s="59"/>
      <c r="M261" s="61"/>
      <c r="N261" s="60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</row>
    <row r="262" spans="1:27" ht="18" customHeight="1">
      <c r="A262" s="50"/>
      <c r="B262" s="49"/>
      <c r="C262" s="58"/>
      <c r="D262" s="59"/>
      <c r="E262" s="61"/>
      <c r="F262" s="60"/>
      <c r="G262" s="60"/>
      <c r="H262" s="49"/>
      <c r="I262" s="49"/>
      <c r="J262" s="58"/>
      <c r="K262" s="58"/>
      <c r="L262" s="59"/>
      <c r="M262" s="61"/>
      <c r="N262" s="60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</row>
    <row r="263" spans="1:27" ht="18" customHeight="1">
      <c r="A263" s="50"/>
      <c r="B263" s="49"/>
      <c r="C263" s="58"/>
      <c r="D263" s="59"/>
      <c r="E263" s="61"/>
      <c r="F263" s="60"/>
      <c r="G263" s="60"/>
      <c r="H263" s="49"/>
      <c r="I263" s="49"/>
      <c r="J263" s="58"/>
      <c r="K263" s="58"/>
      <c r="L263" s="59"/>
      <c r="M263" s="61"/>
      <c r="N263" s="60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</row>
    <row r="264" spans="1:27" ht="18" customHeight="1">
      <c r="A264" s="50"/>
      <c r="B264" s="49"/>
      <c r="C264" s="58"/>
      <c r="D264" s="59"/>
      <c r="E264" s="61"/>
      <c r="F264" s="60"/>
      <c r="G264" s="60"/>
      <c r="H264" s="49"/>
      <c r="I264" s="49"/>
      <c r="J264" s="58"/>
      <c r="K264" s="58"/>
      <c r="L264" s="59"/>
      <c r="M264" s="61"/>
      <c r="N264" s="60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</row>
    <row r="265" spans="1:27" ht="18" customHeight="1">
      <c r="A265" s="50"/>
      <c r="B265" s="49"/>
      <c r="C265" s="58"/>
      <c r="D265" s="59"/>
      <c r="E265" s="61"/>
      <c r="F265" s="60"/>
      <c r="G265" s="60"/>
      <c r="H265" s="49"/>
      <c r="I265" s="49"/>
      <c r="J265" s="58"/>
      <c r="K265" s="58"/>
      <c r="L265" s="59"/>
      <c r="M265" s="61"/>
      <c r="N265" s="60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</row>
    <row r="266" spans="1:27" ht="18" customHeight="1">
      <c r="A266" s="50"/>
      <c r="B266" s="49"/>
      <c r="C266" s="58"/>
      <c r="D266" s="59"/>
      <c r="E266" s="61"/>
      <c r="F266" s="60"/>
      <c r="G266" s="60"/>
      <c r="H266" s="49"/>
      <c r="I266" s="49"/>
      <c r="J266" s="58"/>
      <c r="K266" s="58"/>
      <c r="L266" s="59"/>
      <c r="M266" s="61"/>
      <c r="N266" s="60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</row>
    <row r="267" spans="1:27" ht="18" customHeight="1">
      <c r="A267" s="50"/>
      <c r="B267" s="49"/>
      <c r="C267" s="58"/>
      <c r="D267" s="59"/>
      <c r="E267" s="61"/>
      <c r="F267" s="60"/>
      <c r="G267" s="60"/>
      <c r="H267" s="49"/>
      <c r="I267" s="49"/>
      <c r="J267" s="58"/>
      <c r="K267" s="58"/>
      <c r="L267" s="59"/>
      <c r="M267" s="61"/>
      <c r="N267" s="60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</row>
    <row r="268" spans="1:27" ht="18" customHeight="1">
      <c r="A268" s="50"/>
      <c r="B268" s="49"/>
      <c r="C268" s="58"/>
      <c r="D268" s="59"/>
      <c r="E268" s="61"/>
      <c r="F268" s="60"/>
      <c r="G268" s="60"/>
      <c r="H268" s="49"/>
      <c r="I268" s="49"/>
      <c r="J268" s="58"/>
      <c r="K268" s="58"/>
      <c r="L268" s="59"/>
      <c r="M268" s="61"/>
      <c r="N268" s="60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</row>
    <row r="269" spans="1:27" ht="18" customHeight="1">
      <c r="A269" s="50"/>
      <c r="B269" s="49"/>
      <c r="C269" s="58"/>
      <c r="D269" s="59"/>
      <c r="E269" s="61"/>
      <c r="F269" s="60"/>
      <c r="G269" s="60"/>
      <c r="H269" s="49"/>
      <c r="I269" s="49"/>
      <c r="J269" s="58"/>
      <c r="K269" s="58"/>
      <c r="L269" s="59"/>
      <c r="M269" s="61"/>
      <c r="N269" s="60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</row>
    <row r="270" spans="1:27" ht="18" customHeight="1">
      <c r="A270" s="50"/>
      <c r="B270" s="49"/>
      <c r="C270" s="58"/>
      <c r="D270" s="59"/>
      <c r="E270" s="61"/>
      <c r="F270" s="60"/>
      <c r="G270" s="60"/>
      <c r="H270" s="49"/>
      <c r="I270" s="49"/>
      <c r="J270" s="58"/>
      <c r="K270" s="58"/>
      <c r="L270" s="59"/>
      <c r="M270" s="61"/>
      <c r="N270" s="60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</row>
    <row r="271" spans="1:27" ht="18" customHeight="1">
      <c r="A271" s="50"/>
      <c r="B271" s="49"/>
      <c r="C271" s="58"/>
      <c r="D271" s="59"/>
      <c r="E271" s="61"/>
      <c r="F271" s="60"/>
      <c r="G271" s="60"/>
      <c r="H271" s="49"/>
      <c r="I271" s="49"/>
      <c r="J271" s="58"/>
      <c r="K271" s="58"/>
      <c r="L271" s="59"/>
      <c r="M271" s="61"/>
      <c r="N271" s="60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</row>
    <row r="272" spans="1:27" ht="18" customHeight="1">
      <c r="A272" s="50"/>
      <c r="B272" s="49"/>
      <c r="C272" s="58"/>
      <c r="D272" s="59"/>
      <c r="E272" s="61"/>
      <c r="F272" s="60"/>
      <c r="G272" s="60"/>
      <c r="H272" s="49"/>
      <c r="I272" s="49"/>
      <c r="J272" s="58"/>
      <c r="K272" s="58"/>
      <c r="L272" s="59"/>
      <c r="M272" s="61"/>
      <c r="N272" s="60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</row>
    <row r="273" spans="1:27" ht="18" customHeight="1">
      <c r="A273" s="50"/>
      <c r="B273" s="49"/>
      <c r="C273" s="58"/>
      <c r="D273" s="59"/>
      <c r="E273" s="61"/>
      <c r="F273" s="60"/>
      <c r="G273" s="60"/>
      <c r="H273" s="49"/>
      <c r="I273" s="49"/>
      <c r="J273" s="58"/>
      <c r="K273" s="58"/>
      <c r="L273" s="59"/>
      <c r="M273" s="61"/>
      <c r="N273" s="60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</row>
    <row r="274" spans="1:27" ht="18" customHeight="1">
      <c r="A274" s="50"/>
      <c r="B274" s="49"/>
      <c r="C274" s="58"/>
      <c r="D274" s="59"/>
      <c r="E274" s="61"/>
      <c r="F274" s="60"/>
      <c r="G274" s="60"/>
      <c r="H274" s="49"/>
      <c r="I274" s="49"/>
      <c r="J274" s="58"/>
      <c r="K274" s="58"/>
      <c r="L274" s="59"/>
      <c r="M274" s="61"/>
      <c r="N274" s="60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</row>
    <row r="275" spans="1:27" ht="18" customHeight="1">
      <c r="A275" s="50"/>
      <c r="B275" s="49"/>
      <c r="C275" s="58"/>
      <c r="D275" s="59"/>
      <c r="E275" s="61"/>
      <c r="F275" s="60"/>
      <c r="G275" s="60"/>
      <c r="H275" s="49"/>
      <c r="I275" s="49"/>
      <c r="J275" s="58"/>
      <c r="K275" s="58"/>
      <c r="L275" s="59"/>
      <c r="M275" s="61"/>
      <c r="N275" s="60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</row>
    <row r="276" spans="1:27" ht="18" customHeight="1">
      <c r="A276" s="50"/>
      <c r="B276" s="49"/>
      <c r="C276" s="58"/>
      <c r="D276" s="59"/>
      <c r="E276" s="61"/>
      <c r="F276" s="60"/>
      <c r="G276" s="60"/>
      <c r="H276" s="49"/>
      <c r="I276" s="49"/>
      <c r="J276" s="58"/>
      <c r="K276" s="58"/>
      <c r="L276" s="59"/>
      <c r="M276" s="61"/>
      <c r="N276" s="60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</row>
    <row r="277" spans="1:27" ht="18" customHeight="1">
      <c r="A277" s="50"/>
      <c r="B277" s="49"/>
      <c r="C277" s="58"/>
      <c r="D277" s="59"/>
      <c r="E277" s="61"/>
      <c r="F277" s="60"/>
      <c r="G277" s="60"/>
      <c r="H277" s="49"/>
      <c r="I277" s="49"/>
      <c r="J277" s="58"/>
      <c r="K277" s="58"/>
      <c r="L277" s="59"/>
      <c r="M277" s="61"/>
      <c r="N277" s="60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</row>
    <row r="278" spans="1:27" ht="18" customHeight="1">
      <c r="A278" s="50"/>
      <c r="B278" s="49"/>
      <c r="C278" s="58"/>
      <c r="D278" s="59"/>
      <c r="E278" s="61"/>
      <c r="F278" s="60"/>
      <c r="G278" s="60"/>
      <c r="H278" s="49"/>
      <c r="I278" s="49"/>
      <c r="J278" s="58"/>
      <c r="K278" s="58"/>
      <c r="L278" s="59"/>
      <c r="M278" s="61"/>
      <c r="N278" s="60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</row>
    <row r="279" spans="1:27" ht="18" customHeight="1">
      <c r="A279" s="50"/>
      <c r="B279" s="49"/>
      <c r="C279" s="58"/>
      <c r="D279" s="59"/>
      <c r="E279" s="61"/>
      <c r="F279" s="60"/>
      <c r="G279" s="60"/>
      <c r="H279" s="49"/>
      <c r="I279" s="49"/>
      <c r="J279" s="58"/>
      <c r="K279" s="58"/>
      <c r="L279" s="59"/>
      <c r="M279" s="61"/>
      <c r="N279" s="60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</row>
    <row r="280" spans="1:27" ht="18" customHeight="1">
      <c r="A280" s="50"/>
      <c r="B280" s="49"/>
      <c r="C280" s="58"/>
      <c r="D280" s="59"/>
      <c r="E280" s="61"/>
      <c r="F280" s="60"/>
      <c r="G280" s="60"/>
      <c r="H280" s="49"/>
      <c r="I280" s="49"/>
      <c r="J280" s="58"/>
      <c r="K280" s="58"/>
      <c r="L280" s="59"/>
      <c r="M280" s="61"/>
      <c r="N280" s="60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</row>
    <row r="281" spans="1:27" ht="18" customHeight="1">
      <c r="A281" s="50"/>
      <c r="B281" s="49"/>
      <c r="C281" s="58"/>
      <c r="D281" s="59"/>
      <c r="E281" s="61"/>
      <c r="F281" s="60"/>
      <c r="G281" s="60"/>
      <c r="H281" s="49"/>
      <c r="I281" s="49"/>
      <c r="J281" s="58"/>
      <c r="K281" s="58"/>
      <c r="L281" s="59"/>
      <c r="M281" s="61"/>
      <c r="N281" s="60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</row>
    <row r="282" spans="1:27" ht="18" customHeight="1">
      <c r="A282" s="50"/>
      <c r="B282" s="49"/>
      <c r="C282" s="58"/>
      <c r="D282" s="59"/>
      <c r="E282" s="61"/>
      <c r="F282" s="60"/>
      <c r="G282" s="60"/>
      <c r="H282" s="49"/>
      <c r="I282" s="49"/>
      <c r="J282" s="58"/>
      <c r="K282" s="58"/>
      <c r="L282" s="59"/>
      <c r="M282" s="61"/>
      <c r="N282" s="60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</row>
    <row r="283" spans="1:27" ht="18" customHeight="1">
      <c r="A283" s="50"/>
      <c r="B283" s="49"/>
      <c r="C283" s="58"/>
      <c r="D283" s="59"/>
      <c r="E283" s="61"/>
      <c r="F283" s="60"/>
      <c r="G283" s="60"/>
      <c r="H283" s="49"/>
      <c r="I283" s="49"/>
      <c r="J283" s="58"/>
      <c r="K283" s="58"/>
      <c r="L283" s="59"/>
      <c r="M283" s="61"/>
      <c r="N283" s="60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</row>
    <row r="284" spans="1:27" ht="18" customHeight="1">
      <c r="A284" s="50"/>
      <c r="B284" s="49"/>
      <c r="C284" s="58"/>
      <c r="D284" s="59"/>
      <c r="E284" s="61"/>
      <c r="F284" s="60"/>
      <c r="G284" s="60"/>
      <c r="H284" s="49"/>
      <c r="I284" s="49"/>
      <c r="J284" s="58"/>
      <c r="K284" s="58"/>
      <c r="L284" s="59"/>
      <c r="M284" s="61"/>
      <c r="N284" s="60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</row>
    <row r="285" spans="1:27" ht="18" customHeight="1">
      <c r="A285" s="50"/>
      <c r="B285" s="49"/>
      <c r="C285" s="58"/>
      <c r="D285" s="59"/>
      <c r="E285" s="61"/>
      <c r="F285" s="60"/>
      <c r="G285" s="60"/>
      <c r="H285" s="49"/>
      <c r="I285" s="49"/>
      <c r="J285" s="58"/>
      <c r="K285" s="58"/>
      <c r="L285" s="59"/>
      <c r="M285" s="61"/>
      <c r="N285" s="60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</row>
    <row r="286" spans="1:27" ht="18" customHeight="1">
      <c r="A286" s="50"/>
      <c r="B286" s="49"/>
      <c r="C286" s="58"/>
      <c r="D286" s="59"/>
      <c r="E286" s="61"/>
      <c r="F286" s="60"/>
      <c r="G286" s="60"/>
      <c r="H286" s="49"/>
      <c r="I286" s="49"/>
      <c r="J286" s="58"/>
      <c r="K286" s="58"/>
      <c r="L286" s="59"/>
      <c r="M286" s="61"/>
      <c r="N286" s="60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</row>
    <row r="287" spans="1:27" ht="18" customHeight="1">
      <c r="A287" s="50"/>
      <c r="B287" s="49"/>
      <c r="C287" s="58"/>
      <c r="D287" s="59"/>
      <c r="E287" s="61"/>
      <c r="F287" s="60"/>
      <c r="G287" s="60"/>
      <c r="H287" s="49"/>
      <c r="I287" s="49"/>
      <c r="J287" s="58"/>
      <c r="K287" s="58"/>
      <c r="L287" s="59"/>
      <c r="M287" s="61"/>
      <c r="N287" s="60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</row>
    <row r="288" spans="1:27" ht="18" customHeight="1">
      <c r="A288" s="50"/>
      <c r="B288" s="49"/>
      <c r="C288" s="58"/>
      <c r="D288" s="59"/>
      <c r="E288" s="61"/>
      <c r="F288" s="60"/>
      <c r="G288" s="60"/>
      <c r="H288" s="49"/>
      <c r="I288" s="49"/>
      <c r="J288" s="58"/>
      <c r="K288" s="58"/>
      <c r="L288" s="59"/>
      <c r="M288" s="61"/>
      <c r="N288" s="60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</row>
    <row r="289" spans="1:27" ht="18" customHeight="1">
      <c r="A289" s="50"/>
      <c r="B289" s="49"/>
      <c r="C289" s="58"/>
      <c r="D289" s="59"/>
      <c r="E289" s="61"/>
      <c r="F289" s="60"/>
      <c r="G289" s="60"/>
      <c r="H289" s="49"/>
      <c r="I289" s="49"/>
      <c r="J289" s="58"/>
      <c r="K289" s="58"/>
      <c r="L289" s="59"/>
      <c r="M289" s="61"/>
      <c r="N289" s="60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</row>
    <row r="290" spans="1:27" ht="18" customHeight="1">
      <c r="A290" s="50"/>
      <c r="B290" s="49"/>
      <c r="C290" s="58"/>
      <c r="D290" s="59"/>
      <c r="E290" s="61"/>
      <c r="F290" s="60"/>
      <c r="G290" s="60"/>
      <c r="H290" s="49"/>
      <c r="I290" s="49"/>
      <c r="J290" s="58"/>
      <c r="K290" s="58"/>
      <c r="L290" s="59"/>
      <c r="M290" s="61"/>
      <c r="N290" s="60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</row>
    <row r="291" spans="1:27" ht="18" customHeight="1">
      <c r="A291" s="50"/>
      <c r="B291" s="49"/>
      <c r="C291" s="58"/>
      <c r="D291" s="59"/>
      <c r="E291" s="61"/>
      <c r="F291" s="60"/>
      <c r="G291" s="60"/>
      <c r="H291" s="49"/>
      <c r="I291" s="49"/>
      <c r="J291" s="58"/>
      <c r="K291" s="58"/>
      <c r="L291" s="59"/>
      <c r="M291" s="61"/>
      <c r="N291" s="60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</row>
    <row r="292" spans="1:27" ht="18" customHeight="1">
      <c r="A292" s="50"/>
      <c r="B292" s="49"/>
      <c r="C292" s="58"/>
      <c r="D292" s="59"/>
      <c r="E292" s="61"/>
      <c r="F292" s="60"/>
      <c r="G292" s="60"/>
      <c r="H292" s="49"/>
      <c r="I292" s="49"/>
      <c r="J292" s="58"/>
      <c r="K292" s="58"/>
      <c r="L292" s="59"/>
      <c r="M292" s="61"/>
      <c r="N292" s="60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</row>
    <row r="293" spans="1:27" ht="18" customHeight="1">
      <c r="A293" s="50"/>
      <c r="B293" s="49"/>
      <c r="C293" s="58"/>
      <c r="D293" s="59"/>
      <c r="E293" s="61"/>
      <c r="F293" s="60"/>
      <c r="G293" s="60"/>
      <c r="H293" s="49"/>
      <c r="I293" s="49"/>
      <c r="J293" s="58"/>
      <c r="K293" s="58"/>
      <c r="L293" s="59"/>
      <c r="M293" s="61"/>
      <c r="N293" s="60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</row>
    <row r="294" spans="1:27" ht="18" customHeight="1">
      <c r="A294" s="50"/>
      <c r="B294" s="49"/>
      <c r="C294" s="58"/>
      <c r="D294" s="59"/>
      <c r="E294" s="61"/>
      <c r="F294" s="60"/>
      <c r="G294" s="60"/>
      <c r="H294" s="49"/>
      <c r="I294" s="49"/>
      <c r="J294" s="58"/>
      <c r="K294" s="58"/>
      <c r="L294" s="59"/>
      <c r="M294" s="61"/>
      <c r="N294" s="60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</row>
    <row r="295" spans="1:27" ht="18" customHeight="1">
      <c r="A295" s="50"/>
      <c r="B295" s="49"/>
      <c r="C295" s="58"/>
      <c r="D295" s="59"/>
      <c r="E295" s="61"/>
      <c r="F295" s="60"/>
      <c r="G295" s="60"/>
      <c r="H295" s="49"/>
      <c r="I295" s="49"/>
      <c r="J295" s="58"/>
      <c r="K295" s="58"/>
      <c r="L295" s="59"/>
      <c r="M295" s="61"/>
      <c r="N295" s="60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</row>
    <row r="296" spans="1:27" ht="18" customHeight="1">
      <c r="A296" s="50"/>
      <c r="B296" s="49"/>
      <c r="C296" s="58"/>
      <c r="D296" s="59"/>
      <c r="E296" s="61"/>
      <c r="F296" s="60"/>
      <c r="G296" s="60"/>
      <c r="H296" s="49"/>
      <c r="I296" s="49"/>
      <c r="J296" s="58"/>
      <c r="K296" s="58"/>
      <c r="L296" s="59"/>
      <c r="M296" s="61"/>
      <c r="N296" s="60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</row>
    <row r="297" spans="1:27" ht="18" customHeight="1">
      <c r="A297" s="50"/>
      <c r="B297" s="49"/>
      <c r="C297" s="58"/>
      <c r="D297" s="59"/>
      <c r="E297" s="61"/>
      <c r="F297" s="60"/>
      <c r="G297" s="60"/>
      <c r="H297" s="49"/>
      <c r="I297" s="49"/>
      <c r="J297" s="58"/>
      <c r="K297" s="58"/>
      <c r="L297" s="59"/>
      <c r="M297" s="61"/>
      <c r="N297" s="60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</row>
    <row r="298" spans="1:27" ht="18" customHeight="1">
      <c r="A298" s="50"/>
      <c r="B298" s="49"/>
      <c r="C298" s="58"/>
      <c r="D298" s="59"/>
      <c r="E298" s="61"/>
      <c r="F298" s="60"/>
      <c r="G298" s="60"/>
      <c r="H298" s="49"/>
      <c r="I298" s="49"/>
      <c r="J298" s="58"/>
      <c r="K298" s="58"/>
      <c r="L298" s="59"/>
      <c r="M298" s="61"/>
      <c r="N298" s="60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</row>
    <row r="299" spans="1:27" ht="18" customHeight="1">
      <c r="A299" s="50"/>
      <c r="B299" s="49"/>
      <c r="C299" s="58"/>
      <c r="D299" s="59"/>
      <c r="E299" s="61"/>
      <c r="F299" s="60"/>
      <c r="G299" s="60"/>
      <c r="H299" s="49"/>
      <c r="I299" s="49"/>
      <c r="J299" s="58"/>
      <c r="K299" s="58"/>
      <c r="L299" s="59"/>
      <c r="M299" s="61"/>
      <c r="N299" s="60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</row>
    <row r="300" spans="1:27" ht="18" customHeight="1">
      <c r="A300" s="50"/>
      <c r="B300" s="49"/>
      <c r="C300" s="58"/>
      <c r="D300" s="59"/>
      <c r="E300" s="61"/>
      <c r="F300" s="60"/>
      <c r="G300" s="60"/>
      <c r="H300" s="49"/>
      <c r="I300" s="49"/>
      <c r="J300" s="58"/>
      <c r="K300" s="58"/>
      <c r="L300" s="59"/>
      <c r="M300" s="61"/>
      <c r="N300" s="60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</row>
    <row r="301" spans="1:27" ht="18" customHeight="1">
      <c r="A301" s="50"/>
      <c r="B301" s="49"/>
      <c r="C301" s="58"/>
      <c r="D301" s="59"/>
      <c r="E301" s="61"/>
      <c r="F301" s="60"/>
      <c r="G301" s="60"/>
      <c r="H301" s="49"/>
      <c r="I301" s="49"/>
      <c r="J301" s="58"/>
      <c r="K301" s="58"/>
      <c r="L301" s="59"/>
      <c r="M301" s="61"/>
      <c r="N301" s="60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</row>
    <row r="302" spans="1:27" ht="18" customHeight="1">
      <c r="A302" s="50"/>
      <c r="B302" s="49"/>
      <c r="C302" s="58"/>
      <c r="D302" s="59"/>
      <c r="E302" s="61"/>
      <c r="F302" s="60"/>
      <c r="G302" s="60"/>
      <c r="H302" s="49"/>
      <c r="I302" s="49"/>
      <c r="J302" s="58"/>
      <c r="K302" s="58"/>
      <c r="L302" s="59"/>
      <c r="M302" s="61"/>
      <c r="N302" s="60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</row>
    <row r="303" spans="1:27" ht="18" customHeight="1">
      <c r="A303" s="50"/>
      <c r="B303" s="49"/>
      <c r="C303" s="58"/>
      <c r="D303" s="59"/>
      <c r="E303" s="61"/>
      <c r="F303" s="60"/>
      <c r="G303" s="60"/>
      <c r="H303" s="49"/>
      <c r="I303" s="49"/>
      <c r="J303" s="58"/>
      <c r="K303" s="58"/>
      <c r="L303" s="59"/>
      <c r="M303" s="61"/>
      <c r="N303" s="60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</row>
    <row r="304" spans="1:27" ht="18" customHeight="1">
      <c r="A304" s="50"/>
      <c r="B304" s="49"/>
      <c r="C304" s="58"/>
      <c r="D304" s="59"/>
      <c r="E304" s="61"/>
      <c r="F304" s="60"/>
      <c r="G304" s="60"/>
      <c r="H304" s="49"/>
      <c r="I304" s="49"/>
      <c r="J304" s="58"/>
      <c r="K304" s="58"/>
      <c r="L304" s="59"/>
      <c r="M304" s="61"/>
      <c r="N304" s="60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</row>
    <row r="305" spans="1:27" ht="18" customHeight="1">
      <c r="A305" s="50"/>
      <c r="B305" s="49"/>
      <c r="C305" s="58"/>
      <c r="D305" s="59"/>
      <c r="E305" s="61"/>
      <c r="F305" s="60"/>
      <c r="G305" s="60"/>
      <c r="H305" s="49"/>
      <c r="I305" s="49"/>
      <c r="J305" s="58"/>
      <c r="K305" s="58"/>
      <c r="L305" s="59"/>
      <c r="M305" s="61"/>
      <c r="N305" s="60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</row>
    <row r="306" spans="1:27" ht="18" customHeight="1">
      <c r="A306" s="50"/>
      <c r="B306" s="49"/>
      <c r="C306" s="58"/>
      <c r="D306" s="59"/>
      <c r="E306" s="61"/>
      <c r="F306" s="60"/>
      <c r="G306" s="60"/>
      <c r="H306" s="49"/>
      <c r="I306" s="49"/>
      <c r="J306" s="58"/>
      <c r="K306" s="58"/>
      <c r="L306" s="59"/>
      <c r="M306" s="61"/>
      <c r="N306" s="60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</row>
    <row r="307" spans="1:27" ht="18" customHeight="1">
      <c r="A307" s="50"/>
      <c r="B307" s="49"/>
      <c r="C307" s="58"/>
      <c r="D307" s="59"/>
      <c r="E307" s="61"/>
      <c r="F307" s="60"/>
      <c r="G307" s="60"/>
      <c r="H307" s="49"/>
      <c r="I307" s="49"/>
      <c r="J307" s="58"/>
      <c r="K307" s="58"/>
      <c r="L307" s="59"/>
      <c r="M307" s="61"/>
      <c r="N307" s="60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</row>
    <row r="308" spans="1:27" ht="18" customHeight="1">
      <c r="A308" s="50"/>
      <c r="B308" s="49"/>
      <c r="C308" s="58"/>
      <c r="D308" s="59"/>
      <c r="E308" s="61"/>
      <c r="F308" s="60"/>
      <c r="G308" s="60"/>
      <c r="H308" s="49"/>
      <c r="I308" s="49"/>
      <c r="J308" s="58"/>
      <c r="K308" s="58"/>
      <c r="L308" s="59"/>
      <c r="M308" s="61"/>
      <c r="N308" s="60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</row>
    <row r="309" spans="1:27" ht="18" customHeight="1">
      <c r="A309" s="50"/>
      <c r="B309" s="49"/>
      <c r="C309" s="58"/>
      <c r="D309" s="59"/>
      <c r="E309" s="61"/>
      <c r="F309" s="60"/>
      <c r="G309" s="60"/>
      <c r="H309" s="49"/>
      <c r="I309" s="49"/>
      <c r="J309" s="58"/>
      <c r="K309" s="58"/>
      <c r="L309" s="59"/>
      <c r="M309" s="61"/>
      <c r="N309" s="60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</row>
    <row r="310" spans="1:27" ht="18" customHeight="1">
      <c r="A310" s="50"/>
      <c r="B310" s="49"/>
      <c r="C310" s="58"/>
      <c r="D310" s="59"/>
      <c r="E310" s="61"/>
      <c r="F310" s="60"/>
      <c r="G310" s="60"/>
      <c r="H310" s="49"/>
      <c r="I310" s="49"/>
      <c r="J310" s="58"/>
      <c r="K310" s="58"/>
      <c r="L310" s="59"/>
      <c r="M310" s="61"/>
      <c r="N310" s="60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</row>
    <row r="311" spans="1:27" ht="18" customHeight="1">
      <c r="A311" s="50"/>
      <c r="B311" s="49"/>
      <c r="C311" s="58"/>
      <c r="D311" s="59"/>
      <c r="E311" s="61"/>
      <c r="F311" s="60"/>
      <c r="G311" s="60"/>
      <c r="H311" s="49"/>
      <c r="I311" s="49"/>
      <c r="J311" s="58"/>
      <c r="K311" s="58"/>
      <c r="L311" s="59"/>
      <c r="M311" s="61"/>
      <c r="N311" s="60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</row>
    <row r="312" spans="1:27" ht="18" customHeight="1">
      <c r="A312" s="50"/>
      <c r="B312" s="49"/>
      <c r="C312" s="58"/>
      <c r="D312" s="59"/>
      <c r="E312" s="61"/>
      <c r="F312" s="60"/>
      <c r="G312" s="60"/>
      <c r="H312" s="49"/>
      <c r="I312" s="49"/>
      <c r="J312" s="58"/>
      <c r="K312" s="58"/>
      <c r="L312" s="59"/>
      <c r="M312" s="61"/>
      <c r="N312" s="60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</row>
    <row r="313" spans="1:27" ht="18" customHeight="1">
      <c r="A313" s="50"/>
      <c r="B313" s="49"/>
      <c r="C313" s="58"/>
      <c r="D313" s="59"/>
      <c r="E313" s="61"/>
      <c r="F313" s="60"/>
      <c r="G313" s="60"/>
      <c r="H313" s="49"/>
      <c r="I313" s="49"/>
      <c r="J313" s="58"/>
      <c r="K313" s="58"/>
      <c r="L313" s="59"/>
      <c r="M313" s="61"/>
      <c r="N313" s="60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</row>
    <row r="314" spans="1:27" ht="18" customHeight="1">
      <c r="A314" s="50"/>
      <c r="B314" s="49"/>
      <c r="C314" s="58"/>
      <c r="D314" s="59"/>
      <c r="E314" s="61"/>
      <c r="F314" s="60"/>
      <c r="G314" s="60"/>
      <c r="H314" s="49"/>
      <c r="I314" s="49"/>
      <c r="J314" s="58"/>
      <c r="K314" s="58"/>
      <c r="L314" s="59"/>
      <c r="M314" s="61"/>
      <c r="N314" s="60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</row>
    <row r="315" spans="1:27" ht="18" customHeight="1">
      <c r="A315" s="50"/>
      <c r="B315" s="49"/>
      <c r="C315" s="58"/>
      <c r="D315" s="59"/>
      <c r="E315" s="61"/>
      <c r="F315" s="60"/>
      <c r="G315" s="60"/>
      <c r="H315" s="49"/>
      <c r="I315" s="49"/>
      <c r="J315" s="58"/>
      <c r="K315" s="58"/>
      <c r="L315" s="59"/>
      <c r="M315" s="61"/>
      <c r="N315" s="60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</row>
    <row r="316" spans="1:27" ht="18" customHeight="1">
      <c r="A316" s="50"/>
      <c r="B316" s="49"/>
      <c r="C316" s="58"/>
      <c r="D316" s="59"/>
      <c r="E316" s="61"/>
      <c r="F316" s="60"/>
      <c r="G316" s="60"/>
      <c r="H316" s="49"/>
      <c r="I316" s="49"/>
      <c r="J316" s="58"/>
      <c r="K316" s="58"/>
      <c r="L316" s="59"/>
      <c r="M316" s="61"/>
      <c r="N316" s="60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</row>
    <row r="317" spans="1:27" ht="18" customHeight="1">
      <c r="A317" s="50"/>
      <c r="B317" s="49"/>
      <c r="C317" s="58"/>
      <c r="D317" s="59"/>
      <c r="E317" s="61"/>
      <c r="F317" s="60"/>
      <c r="G317" s="60"/>
      <c r="H317" s="49"/>
      <c r="I317" s="49"/>
      <c r="J317" s="58"/>
      <c r="K317" s="58"/>
      <c r="L317" s="59"/>
      <c r="M317" s="61"/>
      <c r="N317" s="60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</row>
    <row r="318" spans="1:27" ht="18" customHeight="1">
      <c r="A318" s="50"/>
      <c r="B318" s="49"/>
      <c r="C318" s="58"/>
      <c r="D318" s="59"/>
      <c r="E318" s="61"/>
      <c r="F318" s="60"/>
      <c r="G318" s="60"/>
      <c r="H318" s="49"/>
      <c r="I318" s="49"/>
      <c r="J318" s="58"/>
      <c r="K318" s="58"/>
      <c r="L318" s="59"/>
      <c r="M318" s="61"/>
      <c r="N318" s="60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</row>
    <row r="319" spans="1:27" ht="18" customHeight="1">
      <c r="A319" s="50"/>
      <c r="B319" s="49"/>
      <c r="C319" s="58"/>
      <c r="D319" s="59"/>
      <c r="E319" s="61"/>
      <c r="F319" s="60"/>
      <c r="G319" s="60"/>
      <c r="H319" s="49"/>
      <c r="I319" s="49"/>
      <c r="J319" s="58"/>
      <c r="K319" s="58"/>
      <c r="L319" s="59"/>
      <c r="M319" s="61"/>
      <c r="N319" s="60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</row>
    <row r="320" spans="1:27" ht="18" customHeight="1">
      <c r="A320" s="50"/>
      <c r="B320" s="49"/>
      <c r="C320" s="58"/>
      <c r="D320" s="59"/>
      <c r="E320" s="61"/>
      <c r="F320" s="60"/>
      <c r="G320" s="60"/>
      <c r="H320" s="49"/>
      <c r="I320" s="49"/>
      <c r="J320" s="58"/>
      <c r="K320" s="58"/>
      <c r="L320" s="59"/>
      <c r="M320" s="61"/>
      <c r="N320" s="60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</row>
    <row r="321" spans="1:27" ht="18" customHeight="1">
      <c r="A321" s="50"/>
      <c r="B321" s="49"/>
      <c r="C321" s="58"/>
      <c r="D321" s="59"/>
      <c r="E321" s="61"/>
      <c r="F321" s="60"/>
      <c r="G321" s="60"/>
      <c r="H321" s="49"/>
      <c r="I321" s="49"/>
      <c r="J321" s="58"/>
      <c r="K321" s="58"/>
      <c r="L321" s="59"/>
      <c r="M321" s="61"/>
      <c r="N321" s="60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</row>
    <row r="322" spans="1:27" ht="18" customHeight="1">
      <c r="A322" s="50"/>
      <c r="B322" s="49"/>
      <c r="C322" s="58"/>
      <c r="D322" s="59"/>
      <c r="E322" s="61"/>
      <c r="F322" s="60"/>
      <c r="G322" s="60"/>
      <c r="H322" s="49"/>
      <c r="I322" s="49"/>
      <c r="J322" s="58"/>
      <c r="K322" s="58"/>
      <c r="L322" s="59"/>
      <c r="M322" s="61"/>
      <c r="N322" s="60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</row>
    <row r="323" spans="1:27" ht="18" customHeight="1">
      <c r="A323" s="50"/>
      <c r="B323" s="49"/>
      <c r="C323" s="58"/>
      <c r="D323" s="59"/>
      <c r="E323" s="61"/>
      <c r="F323" s="60"/>
      <c r="G323" s="60"/>
      <c r="H323" s="49"/>
      <c r="I323" s="49"/>
      <c r="J323" s="58"/>
      <c r="K323" s="58"/>
      <c r="L323" s="59"/>
      <c r="M323" s="61"/>
      <c r="N323" s="60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</row>
    <row r="324" spans="1:27" ht="18" customHeight="1">
      <c r="A324" s="50"/>
      <c r="B324" s="49"/>
      <c r="C324" s="58"/>
      <c r="D324" s="59"/>
      <c r="E324" s="61"/>
      <c r="F324" s="60"/>
      <c r="G324" s="60"/>
      <c r="H324" s="49"/>
      <c r="I324" s="49"/>
      <c r="J324" s="58"/>
      <c r="K324" s="58"/>
      <c r="L324" s="59"/>
      <c r="M324" s="61"/>
      <c r="N324" s="60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</row>
    <row r="325" spans="1:27" ht="18" customHeight="1">
      <c r="A325" s="50"/>
      <c r="B325" s="49"/>
      <c r="C325" s="58"/>
      <c r="D325" s="59"/>
      <c r="E325" s="61"/>
      <c r="F325" s="60"/>
      <c r="G325" s="60"/>
      <c r="H325" s="49"/>
      <c r="I325" s="49"/>
      <c r="J325" s="58"/>
      <c r="K325" s="58"/>
      <c r="L325" s="59"/>
      <c r="M325" s="61"/>
      <c r="N325" s="60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</row>
    <row r="326" spans="1:27" ht="18" customHeight="1">
      <c r="A326" s="50"/>
      <c r="B326" s="49"/>
      <c r="C326" s="58"/>
      <c r="D326" s="59"/>
      <c r="E326" s="61"/>
      <c r="F326" s="60"/>
      <c r="G326" s="60"/>
      <c r="H326" s="49"/>
      <c r="I326" s="49"/>
      <c r="J326" s="58"/>
      <c r="K326" s="58"/>
      <c r="L326" s="59"/>
      <c r="M326" s="61"/>
      <c r="N326" s="60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</row>
    <row r="327" spans="1:27" ht="18" customHeight="1">
      <c r="A327" s="50"/>
      <c r="B327" s="49"/>
      <c r="C327" s="58"/>
      <c r="D327" s="59"/>
      <c r="E327" s="61"/>
      <c r="F327" s="60"/>
      <c r="G327" s="60"/>
      <c r="H327" s="49"/>
      <c r="I327" s="49"/>
      <c r="J327" s="58"/>
      <c r="K327" s="58"/>
      <c r="L327" s="59"/>
      <c r="M327" s="61"/>
      <c r="N327" s="60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</row>
    <row r="328" spans="1:27" ht="18" customHeight="1">
      <c r="A328" s="50"/>
      <c r="B328" s="49"/>
      <c r="C328" s="58"/>
      <c r="D328" s="59"/>
      <c r="E328" s="61"/>
      <c r="F328" s="60"/>
      <c r="G328" s="60"/>
      <c r="H328" s="49"/>
      <c r="I328" s="49"/>
      <c r="J328" s="58"/>
      <c r="K328" s="58"/>
      <c r="L328" s="59"/>
      <c r="M328" s="61"/>
      <c r="N328" s="60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</row>
    <row r="329" spans="1:27" ht="18" customHeight="1">
      <c r="A329" s="50"/>
      <c r="B329" s="49"/>
      <c r="C329" s="58"/>
      <c r="D329" s="59"/>
      <c r="E329" s="61"/>
      <c r="F329" s="60"/>
      <c r="G329" s="60"/>
      <c r="H329" s="49"/>
      <c r="I329" s="49"/>
      <c r="J329" s="58"/>
      <c r="K329" s="58"/>
      <c r="L329" s="59"/>
      <c r="M329" s="61"/>
      <c r="N329" s="60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</row>
    <row r="330" spans="1:27" ht="18" customHeight="1">
      <c r="A330" s="50"/>
      <c r="B330" s="49"/>
      <c r="C330" s="58"/>
      <c r="D330" s="59"/>
      <c r="E330" s="61"/>
      <c r="F330" s="60"/>
      <c r="G330" s="60"/>
      <c r="H330" s="49"/>
      <c r="I330" s="49"/>
      <c r="J330" s="58"/>
      <c r="K330" s="58"/>
      <c r="L330" s="59"/>
      <c r="M330" s="61"/>
      <c r="N330" s="60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</row>
    <row r="331" spans="1:27" ht="18" customHeight="1">
      <c r="A331" s="50"/>
      <c r="B331" s="49"/>
      <c r="C331" s="58"/>
      <c r="D331" s="59"/>
      <c r="E331" s="61"/>
      <c r="F331" s="60"/>
      <c r="G331" s="60"/>
      <c r="H331" s="49"/>
      <c r="I331" s="49"/>
      <c r="J331" s="58"/>
      <c r="K331" s="58"/>
      <c r="L331" s="59"/>
      <c r="M331" s="61"/>
      <c r="N331" s="60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</row>
    <row r="332" spans="1:27" ht="18" customHeight="1">
      <c r="A332" s="50"/>
      <c r="B332" s="49"/>
      <c r="C332" s="58"/>
      <c r="D332" s="59"/>
      <c r="E332" s="61"/>
      <c r="F332" s="60"/>
      <c r="G332" s="60"/>
      <c r="H332" s="49"/>
      <c r="I332" s="49"/>
      <c r="J332" s="58"/>
      <c r="K332" s="58"/>
      <c r="L332" s="59"/>
      <c r="M332" s="61"/>
      <c r="N332" s="60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</row>
    <row r="333" spans="1:27" ht="18" customHeight="1">
      <c r="A333" s="50"/>
      <c r="B333" s="49"/>
      <c r="C333" s="58"/>
      <c r="D333" s="59"/>
      <c r="E333" s="61"/>
      <c r="F333" s="60"/>
      <c r="G333" s="60"/>
      <c r="H333" s="49"/>
      <c r="I333" s="49"/>
      <c r="J333" s="58"/>
      <c r="K333" s="58"/>
      <c r="L333" s="59"/>
      <c r="M333" s="61"/>
      <c r="N333" s="60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</row>
    <row r="334" spans="1:27" ht="18" customHeight="1">
      <c r="A334" s="50"/>
      <c r="B334" s="49"/>
      <c r="C334" s="58"/>
      <c r="D334" s="59"/>
      <c r="E334" s="61"/>
      <c r="F334" s="60"/>
      <c r="G334" s="60"/>
      <c r="H334" s="49"/>
      <c r="I334" s="49"/>
      <c r="J334" s="58"/>
      <c r="K334" s="58"/>
      <c r="L334" s="59"/>
      <c r="M334" s="61"/>
      <c r="N334" s="60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</row>
    <row r="335" spans="1:27" ht="18" customHeight="1">
      <c r="A335" s="50"/>
      <c r="B335" s="49"/>
      <c r="C335" s="58"/>
      <c r="D335" s="59"/>
      <c r="E335" s="61"/>
      <c r="F335" s="60"/>
      <c r="G335" s="60"/>
      <c r="H335" s="49"/>
      <c r="I335" s="49"/>
      <c r="J335" s="58"/>
      <c r="K335" s="58"/>
      <c r="L335" s="59"/>
      <c r="M335" s="61"/>
      <c r="N335" s="60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</row>
    <row r="336" spans="1:27" ht="18" customHeight="1">
      <c r="A336" s="50"/>
      <c r="B336" s="49"/>
      <c r="C336" s="58"/>
      <c r="D336" s="59"/>
      <c r="E336" s="61"/>
      <c r="F336" s="60"/>
      <c r="G336" s="60"/>
      <c r="H336" s="49"/>
      <c r="I336" s="49"/>
      <c r="J336" s="58"/>
      <c r="K336" s="58"/>
      <c r="L336" s="59"/>
      <c r="M336" s="61"/>
      <c r="N336" s="60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</row>
    <row r="337" spans="1:27" ht="18" customHeight="1">
      <c r="A337" s="50"/>
      <c r="B337" s="49"/>
      <c r="C337" s="58"/>
      <c r="D337" s="59"/>
      <c r="E337" s="61"/>
      <c r="F337" s="60"/>
      <c r="G337" s="60"/>
      <c r="H337" s="49"/>
      <c r="I337" s="49"/>
      <c r="J337" s="58"/>
      <c r="K337" s="58"/>
      <c r="L337" s="59"/>
      <c r="M337" s="61"/>
      <c r="N337" s="60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</row>
    <row r="338" spans="1:27" ht="18" customHeight="1">
      <c r="A338" s="50"/>
      <c r="B338" s="49"/>
      <c r="C338" s="58"/>
      <c r="D338" s="59"/>
      <c r="E338" s="61"/>
      <c r="F338" s="60"/>
      <c r="G338" s="60"/>
      <c r="H338" s="49"/>
      <c r="I338" s="49"/>
      <c r="J338" s="58"/>
      <c r="K338" s="58"/>
      <c r="L338" s="59"/>
      <c r="M338" s="61"/>
      <c r="N338" s="60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</row>
    <row r="339" spans="1:27" ht="18" customHeight="1">
      <c r="A339" s="50"/>
      <c r="B339" s="49"/>
      <c r="C339" s="58"/>
      <c r="D339" s="59"/>
      <c r="E339" s="61"/>
      <c r="F339" s="60"/>
      <c r="G339" s="60"/>
      <c r="H339" s="49"/>
      <c r="I339" s="49"/>
      <c r="J339" s="58"/>
      <c r="K339" s="58"/>
      <c r="L339" s="59"/>
      <c r="M339" s="61"/>
      <c r="N339" s="60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</row>
    <row r="340" spans="1:27" ht="18" customHeight="1">
      <c r="A340" s="50"/>
      <c r="B340" s="49"/>
      <c r="C340" s="58"/>
      <c r="D340" s="59"/>
      <c r="E340" s="61"/>
      <c r="F340" s="60"/>
      <c r="G340" s="60"/>
      <c r="H340" s="49"/>
      <c r="I340" s="49"/>
      <c r="J340" s="58"/>
      <c r="K340" s="58"/>
      <c r="L340" s="59"/>
      <c r="M340" s="61"/>
      <c r="N340" s="60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</row>
    <row r="341" spans="1:27" ht="18" customHeight="1">
      <c r="A341" s="50"/>
      <c r="B341" s="49"/>
      <c r="C341" s="58"/>
      <c r="D341" s="59"/>
      <c r="E341" s="61"/>
      <c r="F341" s="60"/>
      <c r="G341" s="60"/>
      <c r="H341" s="49"/>
      <c r="I341" s="49"/>
      <c r="J341" s="58"/>
      <c r="K341" s="58"/>
      <c r="L341" s="59"/>
      <c r="M341" s="61"/>
      <c r="N341" s="60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</row>
    <row r="342" spans="1:27" ht="18" customHeight="1">
      <c r="A342" s="50"/>
      <c r="B342" s="49"/>
      <c r="C342" s="58"/>
      <c r="D342" s="59"/>
      <c r="E342" s="61"/>
      <c r="F342" s="60"/>
      <c r="G342" s="60"/>
      <c r="H342" s="49"/>
      <c r="I342" s="49"/>
      <c r="J342" s="58"/>
      <c r="K342" s="58"/>
      <c r="L342" s="59"/>
      <c r="M342" s="61"/>
      <c r="N342" s="60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</row>
    <row r="343" spans="1:27" ht="18" customHeight="1">
      <c r="A343" s="50"/>
      <c r="B343" s="49"/>
      <c r="C343" s="58"/>
      <c r="D343" s="59"/>
      <c r="E343" s="61"/>
      <c r="F343" s="60"/>
      <c r="G343" s="60"/>
      <c r="H343" s="49"/>
      <c r="I343" s="49"/>
      <c r="J343" s="58"/>
      <c r="K343" s="58"/>
      <c r="L343" s="59"/>
      <c r="M343" s="61"/>
      <c r="N343" s="60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</row>
    <row r="344" spans="1:27" ht="18" customHeight="1">
      <c r="A344" s="50"/>
      <c r="B344" s="49"/>
      <c r="C344" s="58"/>
      <c r="D344" s="59"/>
      <c r="E344" s="61"/>
      <c r="F344" s="60"/>
      <c r="G344" s="60"/>
      <c r="H344" s="49"/>
      <c r="I344" s="49"/>
      <c r="J344" s="58"/>
      <c r="K344" s="58"/>
      <c r="L344" s="59"/>
      <c r="M344" s="61"/>
      <c r="N344" s="60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</row>
    <row r="345" spans="1:27" ht="18" customHeight="1">
      <c r="A345" s="50"/>
      <c r="B345" s="49"/>
      <c r="C345" s="58"/>
      <c r="D345" s="59"/>
      <c r="E345" s="61"/>
      <c r="F345" s="60"/>
      <c r="G345" s="60"/>
      <c r="H345" s="49"/>
      <c r="I345" s="49"/>
      <c r="J345" s="58"/>
      <c r="K345" s="58"/>
      <c r="L345" s="59"/>
      <c r="M345" s="61"/>
      <c r="N345" s="60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</row>
    <row r="346" spans="1:27" ht="18" customHeight="1">
      <c r="A346" s="50"/>
      <c r="B346" s="49"/>
      <c r="C346" s="58"/>
      <c r="D346" s="59"/>
      <c r="E346" s="61"/>
      <c r="F346" s="60"/>
      <c r="G346" s="60"/>
      <c r="H346" s="49"/>
      <c r="I346" s="49"/>
      <c r="J346" s="58"/>
      <c r="K346" s="58"/>
      <c r="L346" s="59"/>
      <c r="M346" s="61"/>
      <c r="N346" s="60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</row>
    <row r="347" spans="1:27" ht="18" customHeight="1">
      <c r="A347" s="50"/>
      <c r="B347" s="49"/>
      <c r="C347" s="58"/>
      <c r="D347" s="59"/>
      <c r="E347" s="61"/>
      <c r="F347" s="60"/>
      <c r="G347" s="60"/>
      <c r="H347" s="49"/>
      <c r="I347" s="49"/>
      <c r="J347" s="58"/>
      <c r="K347" s="58"/>
      <c r="L347" s="59"/>
      <c r="M347" s="61"/>
      <c r="N347" s="60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</row>
    <row r="348" spans="1:27" ht="18" customHeight="1">
      <c r="A348" s="50"/>
      <c r="B348" s="49"/>
      <c r="C348" s="58"/>
      <c r="D348" s="59"/>
      <c r="E348" s="61"/>
      <c r="F348" s="60"/>
      <c r="G348" s="60"/>
      <c r="H348" s="49"/>
      <c r="I348" s="49"/>
      <c r="J348" s="58"/>
      <c r="K348" s="58"/>
      <c r="L348" s="59"/>
      <c r="M348" s="61"/>
      <c r="N348" s="60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</row>
    <row r="349" spans="1:27" ht="18" customHeight="1">
      <c r="A349" s="50"/>
      <c r="B349" s="49"/>
      <c r="C349" s="58"/>
      <c r="D349" s="59"/>
      <c r="E349" s="61"/>
      <c r="F349" s="60"/>
      <c r="G349" s="60"/>
      <c r="H349" s="49"/>
      <c r="I349" s="49"/>
      <c r="J349" s="58"/>
      <c r="K349" s="58"/>
      <c r="L349" s="59"/>
      <c r="M349" s="61"/>
      <c r="N349" s="60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</row>
    <row r="350" spans="1:27" ht="18" customHeight="1">
      <c r="A350" s="50"/>
      <c r="B350" s="49"/>
      <c r="C350" s="58"/>
      <c r="D350" s="59"/>
      <c r="E350" s="61"/>
      <c r="F350" s="60"/>
      <c r="G350" s="60"/>
      <c r="H350" s="49"/>
      <c r="I350" s="49"/>
      <c r="J350" s="58"/>
      <c r="K350" s="58"/>
      <c r="L350" s="59"/>
      <c r="M350" s="61"/>
      <c r="N350" s="60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</row>
    <row r="351" spans="1:27" ht="18" customHeight="1">
      <c r="A351" s="50"/>
      <c r="B351" s="49"/>
      <c r="C351" s="58"/>
      <c r="D351" s="59"/>
      <c r="E351" s="61"/>
      <c r="F351" s="60"/>
      <c r="G351" s="60"/>
      <c r="H351" s="49"/>
      <c r="I351" s="49"/>
      <c r="J351" s="58"/>
      <c r="K351" s="58"/>
      <c r="L351" s="59"/>
      <c r="M351" s="61"/>
      <c r="N351" s="60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</row>
    <row r="352" spans="1:27" ht="18" customHeight="1">
      <c r="A352" s="50"/>
      <c r="B352" s="49"/>
      <c r="C352" s="58"/>
      <c r="D352" s="59"/>
      <c r="E352" s="61"/>
      <c r="F352" s="60"/>
      <c r="G352" s="60"/>
      <c r="H352" s="49"/>
      <c r="I352" s="49"/>
      <c r="J352" s="58"/>
      <c r="K352" s="58"/>
      <c r="L352" s="59"/>
      <c r="M352" s="61"/>
      <c r="N352" s="60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</row>
    <row r="353" spans="1:27" ht="18" customHeight="1">
      <c r="A353" s="50"/>
      <c r="B353" s="49"/>
      <c r="C353" s="58"/>
      <c r="D353" s="59"/>
      <c r="E353" s="61"/>
      <c r="F353" s="60"/>
      <c r="G353" s="60"/>
      <c r="H353" s="49"/>
      <c r="I353" s="49"/>
      <c r="J353" s="58"/>
      <c r="K353" s="58"/>
      <c r="L353" s="59"/>
      <c r="M353" s="61"/>
      <c r="N353" s="60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</row>
    <row r="354" spans="1:27" ht="18" customHeight="1">
      <c r="A354" s="50"/>
      <c r="B354" s="49"/>
      <c r="C354" s="58"/>
      <c r="D354" s="59"/>
      <c r="E354" s="61"/>
      <c r="F354" s="60"/>
      <c r="G354" s="60"/>
      <c r="H354" s="49"/>
      <c r="I354" s="49"/>
      <c r="J354" s="58"/>
      <c r="K354" s="58"/>
      <c r="L354" s="59"/>
      <c r="M354" s="61"/>
      <c r="N354" s="60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</row>
    <row r="355" spans="1:27" ht="18" customHeight="1">
      <c r="A355" s="50"/>
      <c r="B355" s="49"/>
      <c r="C355" s="58"/>
      <c r="D355" s="59"/>
      <c r="E355" s="61"/>
      <c r="F355" s="60"/>
      <c r="G355" s="60"/>
      <c r="H355" s="49"/>
      <c r="I355" s="49"/>
      <c r="J355" s="58"/>
      <c r="K355" s="58"/>
      <c r="L355" s="59"/>
      <c r="M355" s="61"/>
      <c r="N355" s="60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</row>
    <row r="356" spans="1:27" ht="18" customHeight="1">
      <c r="A356" s="50"/>
      <c r="B356" s="49"/>
      <c r="C356" s="58"/>
      <c r="D356" s="59"/>
      <c r="E356" s="61"/>
      <c r="F356" s="60"/>
      <c r="G356" s="60"/>
      <c r="H356" s="49"/>
      <c r="I356" s="49"/>
      <c r="J356" s="58"/>
      <c r="K356" s="58"/>
      <c r="L356" s="59"/>
      <c r="M356" s="61"/>
      <c r="N356" s="60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</row>
    <row r="357" spans="1:27" ht="18" customHeight="1">
      <c r="A357" s="50"/>
      <c r="B357" s="49"/>
      <c r="C357" s="58"/>
      <c r="D357" s="59"/>
      <c r="E357" s="61"/>
      <c r="F357" s="60"/>
      <c r="G357" s="60"/>
      <c r="H357" s="49"/>
      <c r="I357" s="49"/>
      <c r="J357" s="58"/>
      <c r="K357" s="58"/>
      <c r="L357" s="59"/>
      <c r="M357" s="61"/>
      <c r="N357" s="60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</row>
    <row r="358" spans="1:27" ht="18" customHeight="1">
      <c r="A358" s="50"/>
      <c r="B358" s="49"/>
      <c r="C358" s="58"/>
      <c r="D358" s="59"/>
      <c r="E358" s="61"/>
      <c r="F358" s="60"/>
      <c r="G358" s="60"/>
      <c r="H358" s="49"/>
      <c r="I358" s="49"/>
      <c r="J358" s="58"/>
      <c r="K358" s="58"/>
      <c r="L358" s="59"/>
      <c r="M358" s="61"/>
      <c r="N358" s="60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</row>
    <row r="359" spans="1:27" ht="18" customHeight="1">
      <c r="A359" s="50"/>
      <c r="B359" s="49"/>
      <c r="C359" s="58"/>
      <c r="D359" s="59"/>
      <c r="E359" s="61"/>
      <c r="F359" s="60"/>
      <c r="G359" s="60"/>
      <c r="H359" s="49"/>
      <c r="I359" s="49"/>
      <c r="J359" s="58"/>
      <c r="K359" s="58"/>
      <c r="L359" s="59"/>
      <c r="M359" s="61"/>
      <c r="N359" s="60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</row>
    <row r="360" spans="1:27" ht="18" customHeight="1">
      <c r="A360" s="50"/>
      <c r="B360" s="49"/>
      <c r="C360" s="58"/>
      <c r="D360" s="59"/>
      <c r="E360" s="61"/>
      <c r="F360" s="60"/>
      <c r="G360" s="60"/>
      <c r="H360" s="49"/>
      <c r="I360" s="49"/>
      <c r="J360" s="58"/>
      <c r="K360" s="58"/>
      <c r="L360" s="59"/>
      <c r="M360" s="61"/>
      <c r="N360" s="60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</row>
    <row r="361" spans="1:27" ht="18" customHeight="1">
      <c r="A361" s="50"/>
      <c r="B361" s="49"/>
      <c r="C361" s="58"/>
      <c r="D361" s="59"/>
      <c r="E361" s="61"/>
      <c r="F361" s="60"/>
      <c r="G361" s="60"/>
      <c r="H361" s="49"/>
      <c r="I361" s="49"/>
      <c r="J361" s="58"/>
      <c r="K361" s="58"/>
      <c r="L361" s="59"/>
      <c r="M361" s="61"/>
      <c r="N361" s="60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</row>
    <row r="362" spans="1:27" ht="18" customHeight="1">
      <c r="A362" s="50"/>
      <c r="B362" s="49"/>
      <c r="C362" s="58"/>
      <c r="D362" s="59"/>
      <c r="E362" s="61"/>
      <c r="F362" s="60"/>
      <c r="G362" s="60"/>
      <c r="H362" s="49"/>
      <c r="I362" s="49"/>
      <c r="J362" s="58"/>
      <c r="K362" s="58"/>
      <c r="L362" s="59"/>
      <c r="M362" s="61"/>
      <c r="N362" s="60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</row>
    <row r="363" spans="1:27" ht="18" customHeight="1">
      <c r="A363" s="50"/>
      <c r="B363" s="49"/>
      <c r="C363" s="58"/>
      <c r="D363" s="59"/>
      <c r="E363" s="61"/>
      <c r="F363" s="60"/>
      <c r="G363" s="60"/>
      <c r="H363" s="49"/>
      <c r="I363" s="49"/>
      <c r="J363" s="58"/>
      <c r="K363" s="58"/>
      <c r="L363" s="59"/>
      <c r="M363" s="61"/>
      <c r="N363" s="60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</row>
    <row r="364" spans="1:27" ht="18" customHeight="1">
      <c r="A364" s="50"/>
      <c r="B364" s="49"/>
      <c r="C364" s="58"/>
      <c r="D364" s="59"/>
      <c r="E364" s="61"/>
      <c r="F364" s="60"/>
      <c r="G364" s="60"/>
      <c r="H364" s="49"/>
      <c r="I364" s="49"/>
      <c r="J364" s="58"/>
      <c r="K364" s="58"/>
      <c r="L364" s="59"/>
      <c r="M364" s="61"/>
      <c r="N364" s="60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</row>
    <row r="365" spans="1:27" ht="18" customHeight="1">
      <c r="A365" s="50"/>
      <c r="B365" s="49"/>
      <c r="C365" s="58"/>
      <c r="D365" s="59"/>
      <c r="E365" s="61"/>
      <c r="F365" s="60"/>
      <c r="G365" s="60"/>
      <c r="H365" s="49"/>
      <c r="I365" s="49"/>
      <c r="J365" s="58"/>
      <c r="K365" s="58"/>
      <c r="L365" s="59"/>
      <c r="M365" s="61"/>
      <c r="N365" s="60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</row>
    <row r="366" spans="1:27" ht="18" customHeight="1">
      <c r="A366" s="50"/>
      <c r="B366" s="49"/>
      <c r="C366" s="58"/>
      <c r="D366" s="59"/>
      <c r="E366" s="61"/>
      <c r="F366" s="60"/>
      <c r="G366" s="60"/>
      <c r="H366" s="49"/>
      <c r="I366" s="49"/>
      <c r="J366" s="58"/>
      <c r="K366" s="58"/>
      <c r="L366" s="59"/>
      <c r="M366" s="61"/>
      <c r="N366" s="60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</row>
    <row r="367" spans="1:27" ht="18" customHeight="1">
      <c r="A367" s="50"/>
      <c r="B367" s="49"/>
      <c r="C367" s="58"/>
      <c r="D367" s="59"/>
      <c r="E367" s="61"/>
      <c r="F367" s="60"/>
      <c r="G367" s="60"/>
      <c r="H367" s="49"/>
      <c r="I367" s="49"/>
      <c r="J367" s="58"/>
      <c r="K367" s="58"/>
      <c r="L367" s="59"/>
      <c r="M367" s="61"/>
      <c r="N367" s="60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</row>
    <row r="368" spans="1:27" ht="18" customHeight="1">
      <c r="A368" s="50"/>
      <c r="B368" s="49"/>
      <c r="C368" s="58"/>
      <c r="D368" s="59"/>
      <c r="E368" s="61"/>
      <c r="F368" s="60"/>
      <c r="G368" s="60"/>
      <c r="H368" s="49"/>
      <c r="I368" s="49"/>
      <c r="J368" s="58"/>
      <c r="K368" s="58"/>
      <c r="L368" s="59"/>
      <c r="M368" s="61"/>
      <c r="N368" s="60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</row>
    <row r="369" spans="1:27" ht="18" customHeight="1">
      <c r="A369" s="50"/>
      <c r="B369" s="49"/>
      <c r="C369" s="58"/>
      <c r="D369" s="59"/>
      <c r="E369" s="61"/>
      <c r="F369" s="60"/>
      <c r="G369" s="60"/>
      <c r="H369" s="49"/>
      <c r="I369" s="49"/>
      <c r="J369" s="58"/>
      <c r="K369" s="58"/>
      <c r="L369" s="59"/>
      <c r="M369" s="61"/>
      <c r="N369" s="60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</row>
    <row r="370" spans="1:27" ht="18" customHeight="1">
      <c r="A370" s="50"/>
      <c r="B370" s="49"/>
      <c r="C370" s="58"/>
      <c r="D370" s="59"/>
      <c r="E370" s="61"/>
      <c r="F370" s="60"/>
      <c r="G370" s="60"/>
      <c r="H370" s="49"/>
      <c r="I370" s="49"/>
      <c r="J370" s="58"/>
      <c r="K370" s="58"/>
      <c r="L370" s="59"/>
      <c r="M370" s="61"/>
      <c r="N370" s="60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</row>
    <row r="371" spans="1:27" ht="18" customHeight="1">
      <c r="A371" s="50"/>
      <c r="B371" s="49"/>
      <c r="C371" s="58"/>
      <c r="D371" s="59"/>
      <c r="E371" s="61"/>
      <c r="F371" s="60"/>
      <c r="G371" s="60"/>
      <c r="H371" s="49"/>
      <c r="I371" s="49"/>
      <c r="J371" s="58"/>
      <c r="K371" s="58"/>
      <c r="L371" s="59"/>
      <c r="M371" s="61"/>
      <c r="N371" s="60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</row>
    <row r="372" spans="1:27" ht="18" customHeight="1">
      <c r="A372" s="50"/>
      <c r="B372" s="49"/>
      <c r="C372" s="58"/>
      <c r="D372" s="59"/>
      <c r="E372" s="61"/>
      <c r="F372" s="60"/>
      <c r="G372" s="60"/>
      <c r="H372" s="49"/>
      <c r="I372" s="49"/>
      <c r="J372" s="58"/>
      <c r="K372" s="58"/>
      <c r="L372" s="59"/>
      <c r="M372" s="61"/>
      <c r="N372" s="60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</row>
    <row r="373" spans="1:27" ht="18" customHeight="1">
      <c r="A373" s="50"/>
      <c r="B373" s="49"/>
      <c r="C373" s="58"/>
      <c r="D373" s="59"/>
      <c r="E373" s="61"/>
      <c r="F373" s="60"/>
      <c r="G373" s="60"/>
      <c r="H373" s="49"/>
      <c r="I373" s="49"/>
      <c r="J373" s="58"/>
      <c r="K373" s="58"/>
      <c r="L373" s="59"/>
      <c r="M373" s="61"/>
      <c r="N373" s="60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</row>
    <row r="374" spans="1:27" ht="18" customHeight="1">
      <c r="A374" s="50"/>
      <c r="B374" s="49"/>
      <c r="C374" s="58"/>
      <c r="D374" s="59"/>
      <c r="E374" s="61"/>
      <c r="F374" s="60"/>
      <c r="G374" s="60"/>
      <c r="H374" s="49"/>
      <c r="I374" s="49"/>
      <c r="J374" s="58"/>
      <c r="K374" s="58"/>
      <c r="L374" s="59"/>
      <c r="M374" s="61"/>
      <c r="N374" s="60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</row>
    <row r="375" spans="1:27" ht="18" customHeight="1">
      <c r="A375" s="50"/>
      <c r="B375" s="49"/>
      <c r="C375" s="58"/>
      <c r="D375" s="59"/>
      <c r="E375" s="61"/>
      <c r="F375" s="60"/>
      <c r="G375" s="60"/>
      <c r="H375" s="49"/>
      <c r="I375" s="49"/>
      <c r="J375" s="58"/>
      <c r="K375" s="58"/>
      <c r="L375" s="59"/>
      <c r="M375" s="61"/>
      <c r="N375" s="60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</row>
    <row r="376" spans="1:27" ht="18" customHeight="1">
      <c r="A376" s="50"/>
      <c r="B376" s="49"/>
      <c r="C376" s="58"/>
      <c r="D376" s="59"/>
      <c r="E376" s="61"/>
      <c r="F376" s="60"/>
      <c r="G376" s="60"/>
      <c r="H376" s="49"/>
      <c r="I376" s="49"/>
      <c r="J376" s="58"/>
      <c r="K376" s="58"/>
      <c r="L376" s="59"/>
      <c r="M376" s="61"/>
      <c r="N376" s="60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</row>
    <row r="377" spans="1:27" ht="18" customHeight="1">
      <c r="A377" s="50"/>
      <c r="B377" s="49"/>
      <c r="C377" s="58"/>
      <c r="D377" s="59"/>
      <c r="E377" s="61"/>
      <c r="F377" s="60"/>
      <c r="G377" s="60"/>
      <c r="H377" s="49"/>
      <c r="I377" s="49"/>
      <c r="J377" s="58"/>
      <c r="K377" s="58"/>
      <c r="L377" s="59"/>
      <c r="M377" s="61"/>
      <c r="N377" s="60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</row>
    <row r="378" spans="1:27" ht="18" customHeight="1">
      <c r="A378" s="50"/>
      <c r="B378" s="49"/>
      <c r="C378" s="58"/>
      <c r="D378" s="59"/>
      <c r="E378" s="61"/>
      <c r="F378" s="60"/>
      <c r="G378" s="60"/>
      <c r="H378" s="49"/>
      <c r="I378" s="49"/>
      <c r="J378" s="58"/>
      <c r="K378" s="58"/>
      <c r="L378" s="59"/>
      <c r="M378" s="61"/>
      <c r="N378" s="60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</row>
    <row r="379" spans="1:27" ht="18" customHeight="1">
      <c r="A379" s="50"/>
      <c r="B379" s="49"/>
      <c r="C379" s="58"/>
      <c r="D379" s="59"/>
      <c r="E379" s="61"/>
      <c r="F379" s="60"/>
      <c r="G379" s="60"/>
      <c r="H379" s="49"/>
      <c r="I379" s="49"/>
      <c r="J379" s="58"/>
      <c r="K379" s="58"/>
      <c r="L379" s="59"/>
      <c r="M379" s="61"/>
      <c r="N379" s="60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</row>
    <row r="380" spans="1:27" ht="18" customHeight="1">
      <c r="A380" s="50"/>
      <c r="B380" s="49"/>
      <c r="C380" s="58"/>
      <c r="D380" s="59"/>
      <c r="E380" s="61"/>
      <c r="F380" s="60"/>
      <c r="G380" s="60"/>
      <c r="H380" s="49"/>
      <c r="I380" s="49"/>
      <c r="J380" s="58"/>
      <c r="K380" s="58"/>
      <c r="L380" s="59"/>
      <c r="M380" s="61"/>
      <c r="N380" s="60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</row>
    <row r="381" spans="1:27" ht="18" customHeight="1">
      <c r="A381" s="50"/>
      <c r="B381" s="49"/>
      <c r="C381" s="58"/>
      <c r="D381" s="59"/>
      <c r="E381" s="61"/>
      <c r="F381" s="60"/>
      <c r="G381" s="60"/>
      <c r="H381" s="49"/>
      <c r="I381" s="49"/>
      <c r="J381" s="58"/>
      <c r="K381" s="58"/>
      <c r="L381" s="59"/>
      <c r="M381" s="61"/>
      <c r="N381" s="60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</row>
    <row r="382" spans="1:27" ht="18" customHeight="1">
      <c r="A382" s="50"/>
      <c r="B382" s="49"/>
      <c r="C382" s="58"/>
      <c r="D382" s="59"/>
      <c r="E382" s="61"/>
      <c r="F382" s="60"/>
      <c r="G382" s="60"/>
      <c r="H382" s="49"/>
      <c r="I382" s="49"/>
      <c r="J382" s="58"/>
      <c r="K382" s="58"/>
      <c r="L382" s="59"/>
      <c r="M382" s="61"/>
      <c r="N382" s="60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</row>
    <row r="383" spans="1:27" ht="18" customHeight="1">
      <c r="A383" s="50"/>
      <c r="B383" s="49"/>
      <c r="C383" s="58"/>
      <c r="D383" s="59"/>
      <c r="E383" s="61"/>
      <c r="F383" s="60"/>
      <c r="G383" s="60"/>
      <c r="H383" s="49"/>
      <c r="I383" s="49"/>
      <c r="J383" s="58"/>
      <c r="K383" s="58"/>
      <c r="L383" s="59"/>
      <c r="M383" s="61"/>
      <c r="N383" s="60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</row>
    <row r="384" spans="1:27" ht="18" customHeight="1">
      <c r="A384" s="50"/>
      <c r="B384" s="49"/>
      <c r="C384" s="58"/>
      <c r="D384" s="59"/>
      <c r="E384" s="61"/>
      <c r="F384" s="60"/>
      <c r="G384" s="60"/>
      <c r="H384" s="49"/>
      <c r="I384" s="49"/>
      <c r="J384" s="58"/>
      <c r="K384" s="58"/>
      <c r="L384" s="59"/>
      <c r="M384" s="61"/>
      <c r="N384" s="60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</row>
    <row r="385" spans="1:27" ht="18" customHeight="1">
      <c r="A385" s="50"/>
      <c r="B385" s="49"/>
      <c r="C385" s="58"/>
      <c r="D385" s="59"/>
      <c r="E385" s="61"/>
      <c r="F385" s="60"/>
      <c r="G385" s="60"/>
      <c r="H385" s="49"/>
      <c r="I385" s="49"/>
      <c r="J385" s="58"/>
      <c r="K385" s="58"/>
      <c r="L385" s="59"/>
      <c r="M385" s="61"/>
      <c r="N385" s="60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</row>
    <row r="386" spans="1:27" ht="18" customHeight="1">
      <c r="A386" s="50"/>
      <c r="B386" s="49"/>
      <c r="C386" s="58"/>
      <c r="D386" s="59"/>
      <c r="E386" s="61"/>
      <c r="F386" s="60"/>
      <c r="G386" s="60"/>
      <c r="H386" s="49"/>
      <c r="I386" s="49"/>
      <c r="J386" s="58"/>
      <c r="K386" s="58"/>
      <c r="L386" s="59"/>
      <c r="M386" s="61"/>
      <c r="N386" s="60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</row>
    <row r="387" spans="1:27" ht="18" customHeight="1">
      <c r="A387" s="50"/>
      <c r="B387" s="49"/>
      <c r="C387" s="58"/>
      <c r="D387" s="59"/>
      <c r="E387" s="61"/>
      <c r="F387" s="60"/>
      <c r="G387" s="60"/>
      <c r="H387" s="49"/>
      <c r="I387" s="49"/>
      <c r="J387" s="58"/>
      <c r="K387" s="58"/>
      <c r="L387" s="59"/>
      <c r="M387" s="61"/>
      <c r="N387" s="60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</row>
    <row r="388" spans="1:27" ht="18" customHeight="1">
      <c r="A388" s="50"/>
      <c r="B388" s="49"/>
      <c r="C388" s="58"/>
      <c r="D388" s="59"/>
      <c r="E388" s="61"/>
      <c r="F388" s="60"/>
      <c r="G388" s="60"/>
      <c r="H388" s="49"/>
      <c r="I388" s="49"/>
      <c r="J388" s="58"/>
      <c r="K388" s="58"/>
      <c r="L388" s="59"/>
      <c r="M388" s="61"/>
      <c r="N388" s="60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</row>
    <row r="389" spans="1:27" ht="18" customHeight="1">
      <c r="A389" s="50"/>
      <c r="B389" s="49"/>
      <c r="C389" s="58"/>
      <c r="D389" s="59"/>
      <c r="E389" s="61"/>
      <c r="F389" s="60"/>
      <c r="G389" s="60"/>
      <c r="H389" s="49"/>
      <c r="I389" s="49"/>
      <c r="J389" s="58"/>
      <c r="K389" s="58"/>
      <c r="L389" s="59"/>
      <c r="M389" s="61"/>
      <c r="N389" s="60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</row>
    <row r="390" spans="1:27" ht="18" customHeight="1">
      <c r="A390" s="50"/>
      <c r="B390" s="49"/>
      <c r="C390" s="58"/>
      <c r="D390" s="59"/>
      <c r="E390" s="61"/>
      <c r="F390" s="60"/>
      <c r="G390" s="60"/>
      <c r="H390" s="49"/>
      <c r="I390" s="49"/>
      <c r="J390" s="58"/>
      <c r="K390" s="58"/>
      <c r="L390" s="59"/>
      <c r="M390" s="61"/>
      <c r="N390" s="60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</row>
    <row r="391" spans="1:27" ht="18" customHeight="1">
      <c r="A391" s="50"/>
      <c r="B391" s="49"/>
      <c r="C391" s="58"/>
      <c r="D391" s="59"/>
      <c r="E391" s="61"/>
      <c r="F391" s="60"/>
      <c r="G391" s="60"/>
      <c r="H391" s="49"/>
      <c r="I391" s="49"/>
      <c r="J391" s="58"/>
      <c r="K391" s="58"/>
      <c r="L391" s="59"/>
      <c r="M391" s="61"/>
      <c r="N391" s="60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</row>
    <row r="392" spans="1:27" ht="18" customHeight="1">
      <c r="A392" s="50"/>
      <c r="B392" s="49"/>
      <c r="C392" s="58"/>
      <c r="D392" s="59"/>
      <c r="E392" s="61"/>
      <c r="F392" s="60"/>
      <c r="G392" s="60"/>
      <c r="H392" s="49"/>
      <c r="I392" s="49"/>
      <c r="J392" s="58"/>
      <c r="K392" s="58"/>
      <c r="L392" s="59"/>
      <c r="M392" s="61"/>
      <c r="N392" s="60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</row>
    <row r="393" spans="1:27" ht="18" customHeight="1">
      <c r="A393" s="50"/>
      <c r="B393" s="49"/>
      <c r="C393" s="58"/>
      <c r="D393" s="59"/>
      <c r="E393" s="61"/>
      <c r="F393" s="60"/>
      <c r="G393" s="60"/>
      <c r="H393" s="49"/>
      <c r="I393" s="49"/>
      <c r="J393" s="58"/>
      <c r="K393" s="58"/>
      <c r="L393" s="59"/>
      <c r="M393" s="61"/>
      <c r="N393" s="60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</row>
    <row r="394" spans="1:27" ht="18" customHeight="1">
      <c r="A394" s="50"/>
      <c r="B394" s="49"/>
      <c r="C394" s="58"/>
      <c r="D394" s="59"/>
      <c r="E394" s="61"/>
      <c r="F394" s="60"/>
      <c r="G394" s="60"/>
      <c r="H394" s="49"/>
      <c r="I394" s="49"/>
      <c r="J394" s="58"/>
      <c r="K394" s="58"/>
      <c r="L394" s="59"/>
      <c r="M394" s="61"/>
      <c r="N394" s="60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</row>
    <row r="395" spans="1:27" ht="18" customHeight="1">
      <c r="A395" s="50"/>
      <c r="B395" s="49"/>
      <c r="C395" s="58"/>
      <c r="D395" s="59"/>
      <c r="E395" s="61"/>
      <c r="F395" s="60"/>
      <c r="G395" s="60"/>
      <c r="H395" s="49"/>
      <c r="I395" s="49"/>
      <c r="J395" s="58"/>
      <c r="K395" s="58"/>
      <c r="L395" s="59"/>
      <c r="M395" s="61"/>
      <c r="N395" s="60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</row>
    <row r="396" spans="1:27" ht="18" customHeight="1">
      <c r="A396" s="50"/>
      <c r="B396" s="49"/>
      <c r="C396" s="58"/>
      <c r="D396" s="59"/>
      <c r="E396" s="61"/>
      <c r="F396" s="60"/>
      <c r="G396" s="60"/>
      <c r="H396" s="49"/>
      <c r="I396" s="49"/>
      <c r="J396" s="58"/>
      <c r="K396" s="58"/>
      <c r="L396" s="59"/>
      <c r="M396" s="61"/>
      <c r="N396" s="60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</row>
    <row r="397" spans="1:27" ht="18" customHeight="1">
      <c r="A397" s="50"/>
      <c r="B397" s="49"/>
      <c r="C397" s="58"/>
      <c r="D397" s="59"/>
      <c r="E397" s="61"/>
      <c r="F397" s="60"/>
      <c r="G397" s="60"/>
      <c r="H397" s="49"/>
      <c r="I397" s="49"/>
      <c r="J397" s="58"/>
      <c r="K397" s="58"/>
      <c r="L397" s="59"/>
      <c r="M397" s="61"/>
      <c r="N397" s="60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</row>
    <row r="398" spans="1:27" ht="18" customHeight="1">
      <c r="A398" s="50"/>
      <c r="B398" s="49"/>
      <c r="C398" s="58"/>
      <c r="D398" s="59"/>
      <c r="E398" s="61"/>
      <c r="F398" s="60"/>
      <c r="G398" s="60"/>
      <c r="H398" s="49"/>
      <c r="I398" s="49"/>
      <c r="J398" s="58"/>
      <c r="K398" s="58"/>
      <c r="L398" s="59"/>
      <c r="M398" s="61"/>
      <c r="N398" s="60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</row>
    <row r="399" spans="1:27" ht="18" customHeight="1">
      <c r="A399" s="50"/>
      <c r="B399" s="49"/>
      <c r="C399" s="58"/>
      <c r="D399" s="59"/>
      <c r="E399" s="61"/>
      <c r="F399" s="60"/>
      <c r="G399" s="60"/>
      <c r="H399" s="49"/>
      <c r="I399" s="49"/>
      <c r="J399" s="58"/>
      <c r="K399" s="58"/>
      <c r="L399" s="59"/>
      <c r="M399" s="61"/>
      <c r="N399" s="60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</row>
    <row r="400" spans="1:27" ht="18" customHeight="1">
      <c r="A400" s="50"/>
      <c r="B400" s="49"/>
      <c r="C400" s="58"/>
      <c r="D400" s="59"/>
      <c r="E400" s="61"/>
      <c r="F400" s="60"/>
      <c r="G400" s="60"/>
      <c r="H400" s="49"/>
      <c r="I400" s="49"/>
      <c r="J400" s="58"/>
      <c r="K400" s="58"/>
      <c r="L400" s="59"/>
      <c r="M400" s="61"/>
      <c r="N400" s="60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</row>
    <row r="401" spans="1:27" ht="18" customHeight="1">
      <c r="A401" s="50"/>
      <c r="B401" s="49"/>
      <c r="C401" s="58"/>
      <c r="D401" s="59"/>
      <c r="E401" s="61"/>
      <c r="F401" s="60"/>
      <c r="G401" s="60"/>
      <c r="H401" s="49"/>
      <c r="I401" s="49"/>
      <c r="J401" s="58"/>
      <c r="K401" s="58"/>
      <c r="L401" s="59"/>
      <c r="M401" s="61"/>
      <c r="N401" s="60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</row>
    <row r="402" spans="1:27" ht="18" customHeight="1">
      <c r="A402" s="50"/>
      <c r="B402" s="49"/>
      <c r="C402" s="58"/>
      <c r="D402" s="59"/>
      <c r="E402" s="61"/>
      <c r="F402" s="60"/>
      <c r="G402" s="60"/>
      <c r="H402" s="49"/>
      <c r="I402" s="49"/>
      <c r="J402" s="58"/>
      <c r="K402" s="58"/>
      <c r="L402" s="59"/>
      <c r="M402" s="61"/>
      <c r="N402" s="60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</row>
    <row r="403" spans="1:27" ht="18" customHeight="1">
      <c r="A403" s="50"/>
      <c r="B403" s="49"/>
      <c r="C403" s="58"/>
      <c r="D403" s="59"/>
      <c r="E403" s="61"/>
      <c r="F403" s="60"/>
      <c r="G403" s="60"/>
      <c r="H403" s="49"/>
      <c r="I403" s="49"/>
      <c r="J403" s="58"/>
      <c r="K403" s="58"/>
      <c r="L403" s="59"/>
      <c r="M403" s="61"/>
      <c r="N403" s="60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</row>
    <row r="404" spans="1:27" ht="18" customHeight="1">
      <c r="A404" s="50"/>
      <c r="B404" s="49"/>
      <c r="C404" s="58"/>
      <c r="D404" s="59"/>
      <c r="E404" s="61"/>
      <c r="F404" s="60"/>
      <c r="G404" s="60"/>
      <c r="H404" s="49"/>
      <c r="I404" s="49"/>
      <c r="J404" s="58"/>
      <c r="K404" s="58"/>
      <c r="L404" s="59"/>
      <c r="M404" s="61"/>
      <c r="N404" s="60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</row>
    <row r="405" spans="1:27" ht="18" customHeight="1">
      <c r="A405" s="50"/>
      <c r="B405" s="49"/>
      <c r="C405" s="58"/>
      <c r="D405" s="59"/>
      <c r="E405" s="61"/>
      <c r="F405" s="60"/>
      <c r="G405" s="60"/>
      <c r="H405" s="49"/>
      <c r="I405" s="49"/>
      <c r="J405" s="58"/>
      <c r="K405" s="58"/>
      <c r="L405" s="59"/>
      <c r="M405" s="61"/>
      <c r="N405" s="60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</row>
    <row r="406" spans="1:27" ht="18" customHeight="1">
      <c r="A406" s="50"/>
      <c r="B406" s="49"/>
      <c r="C406" s="58"/>
      <c r="D406" s="59"/>
      <c r="E406" s="61"/>
      <c r="F406" s="60"/>
      <c r="G406" s="60"/>
      <c r="H406" s="49"/>
      <c r="I406" s="49"/>
      <c r="J406" s="58"/>
      <c r="K406" s="58"/>
      <c r="L406" s="59"/>
      <c r="M406" s="61"/>
      <c r="N406" s="60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</row>
    <row r="407" spans="1:27" ht="18" customHeight="1">
      <c r="A407" s="50"/>
      <c r="B407" s="49"/>
      <c r="C407" s="58"/>
      <c r="D407" s="59"/>
      <c r="E407" s="61"/>
      <c r="F407" s="60"/>
      <c r="G407" s="60"/>
      <c r="H407" s="49"/>
      <c r="I407" s="49"/>
      <c r="J407" s="58"/>
      <c r="K407" s="58"/>
      <c r="L407" s="59"/>
      <c r="M407" s="61"/>
      <c r="N407" s="60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</row>
    <row r="408" spans="1:27" ht="18" customHeight="1">
      <c r="A408" s="50"/>
      <c r="B408" s="49"/>
      <c r="C408" s="58"/>
      <c r="D408" s="59"/>
      <c r="E408" s="61"/>
      <c r="F408" s="60"/>
      <c r="G408" s="60"/>
      <c r="H408" s="49"/>
      <c r="I408" s="49"/>
      <c r="J408" s="58"/>
      <c r="K408" s="58"/>
      <c r="L408" s="59"/>
      <c r="M408" s="61"/>
      <c r="N408" s="60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</row>
    <row r="409" spans="1:27" ht="18" customHeight="1">
      <c r="A409" s="50"/>
      <c r="B409" s="49"/>
      <c r="C409" s="58"/>
      <c r="D409" s="59"/>
      <c r="E409" s="61"/>
      <c r="F409" s="60"/>
      <c r="G409" s="60"/>
      <c r="H409" s="49"/>
      <c r="I409" s="49"/>
      <c r="J409" s="58"/>
      <c r="K409" s="58"/>
      <c r="L409" s="59"/>
      <c r="M409" s="61"/>
      <c r="N409" s="60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</row>
    <row r="410" spans="1:27" ht="18" customHeight="1">
      <c r="A410" s="50"/>
      <c r="B410" s="49"/>
      <c r="C410" s="58"/>
      <c r="D410" s="59"/>
      <c r="E410" s="61"/>
      <c r="F410" s="60"/>
      <c r="G410" s="60"/>
      <c r="H410" s="49"/>
      <c r="I410" s="49"/>
      <c r="J410" s="58"/>
      <c r="K410" s="58"/>
      <c r="L410" s="59"/>
      <c r="M410" s="61"/>
      <c r="N410" s="60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</row>
    <row r="411" spans="1:27" ht="18" customHeight="1">
      <c r="A411" s="50"/>
      <c r="B411" s="49"/>
      <c r="C411" s="58"/>
      <c r="D411" s="59"/>
      <c r="E411" s="61"/>
      <c r="F411" s="60"/>
      <c r="G411" s="60"/>
      <c r="H411" s="49"/>
      <c r="I411" s="49"/>
      <c r="J411" s="58"/>
      <c r="K411" s="58"/>
      <c r="L411" s="59"/>
      <c r="M411" s="61"/>
      <c r="N411" s="60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</row>
    <row r="412" spans="1:27" ht="18" customHeight="1">
      <c r="A412" s="50"/>
      <c r="B412" s="49"/>
      <c r="C412" s="58"/>
      <c r="D412" s="59"/>
      <c r="E412" s="61"/>
      <c r="F412" s="60"/>
      <c r="G412" s="60"/>
      <c r="H412" s="49"/>
      <c r="I412" s="49"/>
      <c r="J412" s="58"/>
      <c r="K412" s="58"/>
      <c r="L412" s="59"/>
      <c r="M412" s="61"/>
      <c r="N412" s="60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</row>
    <row r="413" spans="1:27" ht="18" customHeight="1">
      <c r="A413" s="50"/>
      <c r="B413" s="49"/>
      <c r="C413" s="58"/>
      <c r="D413" s="59"/>
      <c r="E413" s="61"/>
      <c r="F413" s="60"/>
      <c r="G413" s="60"/>
      <c r="H413" s="49"/>
      <c r="I413" s="49"/>
      <c r="J413" s="58"/>
      <c r="K413" s="58"/>
      <c r="L413" s="59"/>
      <c r="M413" s="61"/>
      <c r="N413" s="60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</row>
    <row r="414" spans="1:27" ht="18" customHeight="1">
      <c r="A414" s="50"/>
      <c r="B414" s="49"/>
      <c r="C414" s="58"/>
      <c r="D414" s="59"/>
      <c r="E414" s="61"/>
      <c r="F414" s="60"/>
      <c r="G414" s="60"/>
      <c r="H414" s="49"/>
      <c r="I414" s="49"/>
      <c r="J414" s="58"/>
      <c r="K414" s="58"/>
      <c r="L414" s="59"/>
      <c r="M414" s="61"/>
      <c r="N414" s="60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</row>
    <row r="415" spans="1:27" ht="18" customHeight="1">
      <c r="A415" s="50"/>
      <c r="B415" s="49"/>
      <c r="C415" s="58"/>
      <c r="D415" s="59"/>
      <c r="E415" s="61"/>
      <c r="F415" s="60"/>
      <c r="G415" s="60"/>
      <c r="H415" s="49"/>
      <c r="I415" s="49"/>
      <c r="J415" s="58"/>
      <c r="K415" s="58"/>
      <c r="L415" s="59"/>
      <c r="M415" s="61"/>
      <c r="N415" s="60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</row>
    <row r="416" spans="1:27" ht="18" customHeight="1">
      <c r="A416" s="50"/>
      <c r="B416" s="49"/>
      <c r="C416" s="58"/>
      <c r="D416" s="59"/>
      <c r="E416" s="61"/>
      <c r="F416" s="60"/>
      <c r="G416" s="60"/>
      <c r="H416" s="49"/>
      <c r="I416" s="49"/>
      <c r="J416" s="58"/>
      <c r="K416" s="58"/>
      <c r="L416" s="59"/>
      <c r="M416" s="61"/>
      <c r="N416" s="60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</row>
    <row r="417" spans="1:27" ht="18" customHeight="1">
      <c r="A417" s="50"/>
      <c r="B417" s="49"/>
      <c r="C417" s="58"/>
      <c r="D417" s="59"/>
      <c r="E417" s="61"/>
      <c r="F417" s="60"/>
      <c r="G417" s="60"/>
      <c r="H417" s="49"/>
      <c r="I417" s="49"/>
      <c r="J417" s="58"/>
      <c r="K417" s="58"/>
      <c r="L417" s="59"/>
      <c r="M417" s="61"/>
      <c r="N417" s="60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</row>
    <row r="418" spans="1:27" ht="18" customHeight="1">
      <c r="A418" s="50"/>
      <c r="B418" s="49"/>
      <c r="C418" s="58"/>
      <c r="D418" s="59"/>
      <c r="E418" s="61"/>
      <c r="F418" s="60"/>
      <c r="G418" s="60"/>
      <c r="H418" s="49"/>
      <c r="I418" s="49"/>
      <c r="J418" s="58"/>
      <c r="K418" s="58"/>
      <c r="L418" s="59"/>
      <c r="M418" s="61"/>
      <c r="N418" s="60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</row>
    <row r="419" spans="1:27" ht="18" customHeight="1">
      <c r="A419" s="50"/>
      <c r="B419" s="49"/>
      <c r="C419" s="58"/>
      <c r="D419" s="59"/>
      <c r="E419" s="61"/>
      <c r="F419" s="60"/>
      <c r="G419" s="60"/>
      <c r="H419" s="49"/>
      <c r="I419" s="49"/>
      <c r="J419" s="58"/>
      <c r="K419" s="58"/>
      <c r="L419" s="59"/>
      <c r="M419" s="61"/>
      <c r="N419" s="60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</row>
    <row r="420" spans="1:27" ht="18" customHeight="1">
      <c r="A420" s="50"/>
      <c r="B420" s="49"/>
      <c r="C420" s="58"/>
      <c r="D420" s="59"/>
      <c r="E420" s="61"/>
      <c r="F420" s="60"/>
      <c r="G420" s="60"/>
      <c r="H420" s="49"/>
      <c r="I420" s="49"/>
      <c r="J420" s="58"/>
      <c r="K420" s="58"/>
      <c r="L420" s="59"/>
      <c r="M420" s="61"/>
      <c r="N420" s="60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</row>
    <row r="421" spans="1:27" ht="18" customHeight="1">
      <c r="A421" s="50"/>
      <c r="B421" s="49"/>
      <c r="C421" s="58"/>
      <c r="D421" s="59"/>
      <c r="E421" s="61"/>
      <c r="F421" s="60"/>
      <c r="G421" s="60"/>
      <c r="H421" s="49"/>
      <c r="I421" s="49"/>
      <c r="J421" s="58"/>
      <c r="K421" s="58"/>
      <c r="L421" s="59"/>
      <c r="M421" s="61"/>
      <c r="N421" s="60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</row>
    <row r="422" spans="1:27" ht="18" customHeight="1">
      <c r="A422" s="50"/>
      <c r="B422" s="49"/>
      <c r="C422" s="58"/>
      <c r="D422" s="59"/>
      <c r="E422" s="61"/>
      <c r="F422" s="60"/>
      <c r="G422" s="60"/>
      <c r="H422" s="49"/>
      <c r="I422" s="49"/>
      <c r="J422" s="58"/>
      <c r="K422" s="58"/>
      <c r="L422" s="59"/>
      <c r="M422" s="61"/>
      <c r="N422" s="60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</row>
    <row r="423" spans="1:27" ht="18" customHeight="1">
      <c r="A423" s="50"/>
      <c r="B423" s="49"/>
      <c r="C423" s="58"/>
      <c r="D423" s="59"/>
      <c r="E423" s="61"/>
      <c r="F423" s="60"/>
      <c r="G423" s="60"/>
      <c r="H423" s="49"/>
      <c r="I423" s="49"/>
      <c r="J423" s="58"/>
      <c r="K423" s="58"/>
      <c r="L423" s="59"/>
      <c r="M423" s="61"/>
      <c r="N423" s="60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</row>
    <row r="424" spans="1:27" ht="18" customHeight="1">
      <c r="A424" s="50"/>
      <c r="B424" s="49"/>
      <c r="C424" s="58"/>
      <c r="D424" s="59"/>
      <c r="E424" s="61"/>
      <c r="F424" s="60"/>
      <c r="G424" s="60"/>
      <c r="H424" s="49"/>
      <c r="I424" s="49"/>
      <c r="J424" s="58"/>
      <c r="K424" s="58"/>
      <c r="L424" s="59"/>
      <c r="M424" s="61"/>
      <c r="N424" s="60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</row>
    <row r="425" spans="1:27" ht="18" customHeight="1">
      <c r="A425" s="50"/>
      <c r="B425" s="49"/>
      <c r="C425" s="58"/>
      <c r="D425" s="59"/>
      <c r="E425" s="61"/>
      <c r="F425" s="60"/>
      <c r="G425" s="60"/>
      <c r="H425" s="49"/>
      <c r="I425" s="49"/>
      <c r="J425" s="58"/>
      <c r="K425" s="58"/>
      <c r="L425" s="59"/>
      <c r="M425" s="61"/>
      <c r="N425" s="60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</row>
    <row r="426" spans="1:27" ht="18" customHeight="1">
      <c r="A426" s="50"/>
      <c r="B426" s="49"/>
      <c r="C426" s="58"/>
      <c r="D426" s="59"/>
      <c r="E426" s="61"/>
      <c r="F426" s="60"/>
      <c r="G426" s="60"/>
      <c r="H426" s="49"/>
      <c r="I426" s="49"/>
      <c r="J426" s="58"/>
      <c r="K426" s="58"/>
      <c r="L426" s="59"/>
      <c r="M426" s="61"/>
      <c r="N426" s="60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</row>
    <row r="427" spans="1:27" ht="18" customHeight="1">
      <c r="A427" s="50"/>
      <c r="B427" s="49"/>
      <c r="C427" s="58"/>
      <c r="D427" s="59"/>
      <c r="E427" s="61"/>
      <c r="F427" s="60"/>
      <c r="G427" s="60"/>
      <c r="H427" s="49"/>
      <c r="I427" s="49"/>
      <c r="J427" s="58"/>
      <c r="K427" s="58"/>
      <c r="L427" s="59"/>
      <c r="M427" s="61"/>
      <c r="N427" s="60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</row>
    <row r="428" spans="1:27" ht="18" customHeight="1">
      <c r="A428" s="50"/>
      <c r="B428" s="49"/>
      <c r="C428" s="58"/>
      <c r="D428" s="59"/>
      <c r="E428" s="61"/>
      <c r="F428" s="60"/>
      <c r="G428" s="60"/>
      <c r="H428" s="49"/>
      <c r="I428" s="49"/>
      <c r="J428" s="58"/>
      <c r="K428" s="58"/>
      <c r="L428" s="59"/>
      <c r="M428" s="61"/>
      <c r="N428" s="60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</row>
    <row r="429" spans="1:27" ht="18" customHeight="1">
      <c r="A429" s="50"/>
      <c r="B429" s="49"/>
      <c r="C429" s="58"/>
      <c r="D429" s="59"/>
      <c r="E429" s="61"/>
      <c r="F429" s="60"/>
      <c r="G429" s="60"/>
      <c r="H429" s="49"/>
      <c r="I429" s="49"/>
      <c r="J429" s="58"/>
      <c r="K429" s="58"/>
      <c r="L429" s="59"/>
      <c r="M429" s="61"/>
      <c r="N429" s="60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</row>
    <row r="430" spans="1:27" ht="18" customHeight="1">
      <c r="A430" s="50"/>
      <c r="B430" s="49"/>
      <c r="C430" s="58"/>
      <c r="D430" s="59"/>
      <c r="E430" s="61"/>
      <c r="F430" s="60"/>
      <c r="G430" s="60"/>
      <c r="H430" s="49"/>
      <c r="I430" s="49"/>
      <c r="J430" s="58"/>
      <c r="K430" s="58"/>
      <c r="L430" s="59"/>
      <c r="M430" s="61"/>
      <c r="N430" s="60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</row>
    <row r="431" spans="1:27" ht="18" customHeight="1">
      <c r="A431" s="50"/>
      <c r="B431" s="49"/>
      <c r="C431" s="58"/>
      <c r="D431" s="59"/>
      <c r="E431" s="61"/>
      <c r="F431" s="60"/>
      <c r="G431" s="60"/>
      <c r="H431" s="49"/>
      <c r="I431" s="49"/>
      <c r="J431" s="58"/>
      <c r="K431" s="58"/>
      <c r="L431" s="59"/>
      <c r="M431" s="61"/>
      <c r="N431" s="60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</row>
    <row r="432" spans="1:27" ht="18" customHeight="1">
      <c r="A432" s="50"/>
      <c r="B432" s="49"/>
      <c r="C432" s="58"/>
      <c r="D432" s="59"/>
      <c r="E432" s="61"/>
      <c r="F432" s="60"/>
      <c r="G432" s="60"/>
      <c r="H432" s="49"/>
      <c r="I432" s="49"/>
      <c r="J432" s="58"/>
      <c r="K432" s="58"/>
      <c r="L432" s="59"/>
      <c r="M432" s="61"/>
      <c r="N432" s="60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</row>
    <row r="433" spans="1:27" ht="18" customHeight="1">
      <c r="A433" s="50"/>
      <c r="B433" s="49"/>
      <c r="C433" s="58"/>
      <c r="D433" s="59"/>
      <c r="E433" s="61"/>
      <c r="F433" s="60"/>
      <c r="G433" s="60"/>
      <c r="H433" s="49"/>
      <c r="I433" s="49"/>
      <c r="J433" s="58"/>
      <c r="K433" s="58"/>
      <c r="L433" s="59"/>
      <c r="M433" s="61"/>
      <c r="N433" s="60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</row>
    <row r="434" spans="1:27" ht="18" customHeight="1">
      <c r="A434" s="50"/>
      <c r="B434" s="49"/>
      <c r="C434" s="58"/>
      <c r="D434" s="59"/>
      <c r="E434" s="61"/>
      <c r="F434" s="60"/>
      <c r="G434" s="60"/>
      <c r="H434" s="49"/>
      <c r="I434" s="49"/>
      <c r="J434" s="58"/>
      <c r="K434" s="58"/>
      <c r="L434" s="59"/>
      <c r="M434" s="61"/>
      <c r="N434" s="60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</row>
    <row r="435" spans="1:27" ht="18" customHeight="1">
      <c r="A435" s="50"/>
      <c r="B435" s="49"/>
      <c r="C435" s="58"/>
      <c r="D435" s="59"/>
      <c r="E435" s="61"/>
      <c r="F435" s="60"/>
      <c r="G435" s="60"/>
      <c r="H435" s="49"/>
      <c r="I435" s="49"/>
      <c r="J435" s="58"/>
      <c r="K435" s="58"/>
      <c r="L435" s="59"/>
      <c r="M435" s="61"/>
      <c r="N435" s="60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</row>
    <row r="436" spans="1:27" ht="18" customHeight="1">
      <c r="A436" s="50"/>
      <c r="B436" s="49"/>
      <c r="C436" s="58"/>
      <c r="D436" s="59"/>
      <c r="E436" s="61"/>
      <c r="F436" s="60"/>
      <c r="G436" s="60"/>
      <c r="H436" s="49"/>
      <c r="I436" s="49"/>
      <c r="J436" s="58"/>
      <c r="K436" s="58"/>
      <c r="L436" s="59"/>
      <c r="M436" s="61"/>
      <c r="N436" s="60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</row>
    <row r="437" spans="1:27" ht="18" customHeight="1">
      <c r="A437" s="50"/>
      <c r="B437" s="49"/>
      <c r="C437" s="58"/>
      <c r="D437" s="59"/>
      <c r="E437" s="61"/>
      <c r="F437" s="60"/>
      <c r="G437" s="60"/>
      <c r="H437" s="49"/>
      <c r="I437" s="49"/>
      <c r="J437" s="58"/>
      <c r="K437" s="58"/>
      <c r="L437" s="59"/>
      <c r="M437" s="61"/>
      <c r="N437" s="60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</row>
    <row r="438" spans="1:27" ht="18" customHeight="1">
      <c r="A438" s="50"/>
      <c r="B438" s="49"/>
      <c r="C438" s="58"/>
      <c r="D438" s="59"/>
      <c r="E438" s="61"/>
      <c r="F438" s="60"/>
      <c r="G438" s="60"/>
      <c r="H438" s="49"/>
      <c r="I438" s="49"/>
      <c r="J438" s="58"/>
      <c r="K438" s="58"/>
      <c r="L438" s="59"/>
      <c r="M438" s="61"/>
      <c r="N438" s="60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</row>
    <row r="439" spans="1:27" ht="18" customHeight="1">
      <c r="A439" s="50"/>
      <c r="B439" s="49"/>
      <c r="C439" s="58"/>
      <c r="D439" s="59"/>
      <c r="E439" s="61"/>
      <c r="F439" s="60"/>
      <c r="G439" s="60"/>
      <c r="H439" s="49"/>
      <c r="I439" s="49"/>
      <c r="J439" s="58"/>
      <c r="K439" s="58"/>
      <c r="L439" s="59"/>
      <c r="M439" s="61"/>
      <c r="N439" s="60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</row>
    <row r="440" spans="1:27" ht="18" customHeight="1">
      <c r="A440" s="50"/>
      <c r="B440" s="49"/>
      <c r="C440" s="58"/>
      <c r="D440" s="59"/>
      <c r="E440" s="61"/>
      <c r="F440" s="60"/>
      <c r="G440" s="60"/>
      <c r="H440" s="49"/>
      <c r="I440" s="49"/>
      <c r="J440" s="58"/>
      <c r="K440" s="58"/>
      <c r="L440" s="59"/>
      <c r="M440" s="61"/>
      <c r="N440" s="60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</row>
    <row r="441" spans="1:27" ht="18" customHeight="1">
      <c r="A441" s="50"/>
      <c r="B441" s="49"/>
      <c r="C441" s="58"/>
      <c r="D441" s="59"/>
      <c r="E441" s="61"/>
      <c r="F441" s="60"/>
      <c r="G441" s="60"/>
      <c r="H441" s="49"/>
      <c r="I441" s="49"/>
      <c r="J441" s="58"/>
      <c r="K441" s="58"/>
      <c r="L441" s="59"/>
      <c r="M441" s="61"/>
      <c r="N441" s="60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</row>
    <row r="442" spans="1:27" ht="18" customHeight="1">
      <c r="A442" s="50"/>
      <c r="B442" s="49"/>
      <c r="C442" s="58"/>
      <c r="D442" s="59"/>
      <c r="E442" s="61"/>
      <c r="F442" s="60"/>
      <c r="G442" s="60"/>
      <c r="H442" s="49"/>
      <c r="I442" s="49"/>
      <c r="J442" s="58"/>
      <c r="K442" s="58"/>
      <c r="L442" s="59"/>
      <c r="M442" s="61"/>
      <c r="N442" s="60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</row>
    <row r="443" spans="1:27" ht="18" customHeight="1">
      <c r="A443" s="50"/>
      <c r="B443" s="49"/>
      <c r="C443" s="58"/>
      <c r="D443" s="59"/>
      <c r="E443" s="61"/>
      <c r="F443" s="60"/>
      <c r="G443" s="60"/>
      <c r="H443" s="49"/>
      <c r="I443" s="49"/>
      <c r="J443" s="58"/>
      <c r="K443" s="58"/>
      <c r="L443" s="59"/>
      <c r="M443" s="61"/>
      <c r="N443" s="60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</row>
    <row r="444" spans="1:27" ht="18" customHeight="1">
      <c r="A444" s="50"/>
      <c r="B444" s="49"/>
      <c r="C444" s="58"/>
      <c r="D444" s="59"/>
      <c r="E444" s="61"/>
      <c r="F444" s="60"/>
      <c r="G444" s="60"/>
      <c r="H444" s="49"/>
      <c r="I444" s="49"/>
      <c r="J444" s="58"/>
      <c r="K444" s="58"/>
      <c r="L444" s="59"/>
      <c r="M444" s="61"/>
      <c r="N444" s="60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</row>
    <row r="445" spans="1:27" ht="18" customHeight="1">
      <c r="A445" s="50"/>
      <c r="B445" s="49"/>
      <c r="C445" s="58"/>
      <c r="D445" s="59"/>
      <c r="E445" s="61"/>
      <c r="F445" s="60"/>
      <c r="G445" s="60"/>
      <c r="H445" s="49"/>
      <c r="I445" s="49"/>
      <c r="J445" s="58"/>
      <c r="K445" s="58"/>
      <c r="L445" s="59"/>
      <c r="M445" s="61"/>
      <c r="N445" s="60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</row>
    <row r="446" spans="1:27" ht="18" customHeight="1">
      <c r="A446" s="50"/>
      <c r="B446" s="49"/>
      <c r="C446" s="58"/>
      <c r="D446" s="59"/>
      <c r="E446" s="61"/>
      <c r="F446" s="60"/>
      <c r="G446" s="60"/>
      <c r="H446" s="49"/>
      <c r="I446" s="49"/>
      <c r="J446" s="58"/>
      <c r="K446" s="58"/>
      <c r="L446" s="59"/>
      <c r="M446" s="61"/>
      <c r="N446" s="60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</row>
    <row r="447" spans="1:27" ht="18" customHeight="1">
      <c r="A447" s="50"/>
      <c r="B447" s="49"/>
      <c r="C447" s="58"/>
      <c r="D447" s="59"/>
      <c r="E447" s="61"/>
      <c r="F447" s="60"/>
      <c r="G447" s="60"/>
      <c r="H447" s="49"/>
      <c r="I447" s="49"/>
      <c r="J447" s="58"/>
      <c r="K447" s="58"/>
      <c r="L447" s="59"/>
      <c r="M447" s="61"/>
      <c r="N447" s="60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</row>
    <row r="448" spans="1:27" ht="18" customHeight="1">
      <c r="A448" s="50"/>
      <c r="B448" s="49"/>
      <c r="C448" s="58"/>
      <c r="D448" s="59"/>
      <c r="E448" s="61"/>
      <c r="F448" s="60"/>
      <c r="G448" s="60"/>
      <c r="H448" s="49"/>
      <c r="I448" s="49"/>
      <c r="J448" s="58"/>
      <c r="K448" s="58"/>
      <c r="L448" s="59"/>
      <c r="M448" s="61"/>
      <c r="N448" s="60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</row>
    <row r="449" spans="1:27" ht="18" customHeight="1">
      <c r="A449" s="50"/>
      <c r="B449" s="49"/>
      <c r="C449" s="58"/>
      <c r="D449" s="59"/>
      <c r="E449" s="61"/>
      <c r="F449" s="60"/>
      <c r="G449" s="60"/>
      <c r="H449" s="49"/>
      <c r="I449" s="49"/>
      <c r="J449" s="58"/>
      <c r="K449" s="58"/>
      <c r="L449" s="59"/>
      <c r="M449" s="61"/>
      <c r="N449" s="60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</row>
    <row r="450" spans="1:27" ht="18" customHeight="1">
      <c r="A450" s="50"/>
      <c r="B450" s="49"/>
      <c r="C450" s="58"/>
      <c r="D450" s="59"/>
      <c r="E450" s="61"/>
      <c r="F450" s="60"/>
      <c r="G450" s="60"/>
      <c r="H450" s="49"/>
      <c r="I450" s="49"/>
      <c r="J450" s="58"/>
      <c r="K450" s="58"/>
      <c r="L450" s="59"/>
      <c r="M450" s="61"/>
      <c r="N450" s="60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</row>
    <row r="451" spans="1:27" ht="18" customHeight="1">
      <c r="A451" s="50"/>
      <c r="B451" s="49"/>
      <c r="C451" s="58"/>
      <c r="D451" s="59"/>
      <c r="E451" s="61"/>
      <c r="F451" s="60"/>
      <c r="G451" s="60"/>
      <c r="H451" s="49"/>
      <c r="I451" s="49"/>
      <c r="J451" s="58"/>
      <c r="K451" s="58"/>
      <c r="L451" s="59"/>
      <c r="M451" s="61"/>
      <c r="N451" s="60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</row>
    <row r="452" spans="1:27" ht="18" customHeight="1">
      <c r="A452" s="50"/>
      <c r="B452" s="49"/>
      <c r="C452" s="58"/>
      <c r="D452" s="59"/>
      <c r="E452" s="61"/>
      <c r="F452" s="60"/>
      <c r="G452" s="60"/>
      <c r="H452" s="49"/>
      <c r="I452" s="49"/>
      <c r="J452" s="58"/>
      <c r="K452" s="58"/>
      <c r="L452" s="59"/>
      <c r="M452" s="61"/>
      <c r="N452" s="60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</row>
    <row r="453" spans="1:27" ht="18" customHeight="1">
      <c r="A453" s="50"/>
      <c r="B453" s="49"/>
      <c r="C453" s="58"/>
      <c r="D453" s="59"/>
      <c r="E453" s="61"/>
      <c r="F453" s="60"/>
      <c r="G453" s="60"/>
      <c r="H453" s="49"/>
      <c r="I453" s="49"/>
      <c r="J453" s="58"/>
      <c r="K453" s="58"/>
      <c r="L453" s="59"/>
      <c r="M453" s="61"/>
      <c r="N453" s="60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</row>
    <row r="454" spans="1:27" ht="18" customHeight="1">
      <c r="A454" s="50"/>
      <c r="B454" s="49"/>
      <c r="C454" s="58"/>
      <c r="D454" s="59"/>
      <c r="E454" s="61"/>
      <c r="F454" s="60"/>
      <c r="G454" s="60"/>
      <c r="H454" s="49"/>
      <c r="I454" s="49"/>
      <c r="J454" s="58"/>
      <c r="K454" s="58"/>
      <c r="L454" s="59"/>
      <c r="M454" s="61"/>
      <c r="N454" s="60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</row>
    <row r="455" spans="1:27" ht="18" customHeight="1">
      <c r="A455" s="50"/>
      <c r="B455" s="49"/>
      <c r="C455" s="58"/>
      <c r="D455" s="59"/>
      <c r="E455" s="61"/>
      <c r="F455" s="60"/>
      <c r="G455" s="60"/>
      <c r="H455" s="49"/>
      <c r="I455" s="49"/>
      <c r="J455" s="58"/>
      <c r="K455" s="58"/>
      <c r="L455" s="59"/>
      <c r="M455" s="61"/>
      <c r="N455" s="60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</row>
    <row r="456" spans="1:27" ht="18" customHeight="1">
      <c r="A456" s="50"/>
      <c r="B456" s="49"/>
      <c r="C456" s="58"/>
      <c r="D456" s="59"/>
      <c r="E456" s="61"/>
      <c r="F456" s="60"/>
      <c r="G456" s="60"/>
      <c r="H456" s="49"/>
      <c r="I456" s="49"/>
      <c r="J456" s="58"/>
      <c r="K456" s="58"/>
      <c r="L456" s="59"/>
      <c r="M456" s="61"/>
      <c r="N456" s="60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</row>
    <row r="457" spans="1:27" ht="18" customHeight="1">
      <c r="A457" s="50"/>
      <c r="B457" s="49"/>
      <c r="C457" s="58"/>
      <c r="D457" s="59"/>
      <c r="E457" s="61"/>
      <c r="F457" s="60"/>
      <c r="G457" s="60"/>
      <c r="H457" s="49"/>
      <c r="I457" s="49"/>
      <c r="J457" s="58"/>
      <c r="K457" s="58"/>
      <c r="L457" s="59"/>
      <c r="M457" s="61"/>
      <c r="N457" s="60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</row>
    <row r="458" spans="1:27" ht="18" customHeight="1">
      <c r="A458" s="50"/>
      <c r="B458" s="49"/>
      <c r="C458" s="58"/>
      <c r="D458" s="59"/>
      <c r="E458" s="61"/>
      <c r="F458" s="60"/>
      <c r="G458" s="60"/>
      <c r="H458" s="49"/>
      <c r="I458" s="49"/>
      <c r="J458" s="58"/>
      <c r="K458" s="58"/>
      <c r="L458" s="59"/>
      <c r="M458" s="61"/>
      <c r="N458" s="60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</row>
    <row r="459" spans="1:27" ht="18" customHeight="1">
      <c r="A459" s="50"/>
      <c r="B459" s="49"/>
      <c r="C459" s="58"/>
      <c r="D459" s="59"/>
      <c r="E459" s="61"/>
      <c r="F459" s="60"/>
      <c r="G459" s="60"/>
      <c r="H459" s="49"/>
      <c r="I459" s="49"/>
      <c r="J459" s="58"/>
      <c r="K459" s="58"/>
      <c r="L459" s="59"/>
      <c r="M459" s="61"/>
      <c r="N459" s="60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</row>
    <row r="460" spans="1:27" ht="18" customHeight="1">
      <c r="A460" s="50"/>
      <c r="B460" s="49"/>
      <c r="C460" s="58"/>
      <c r="D460" s="59"/>
      <c r="E460" s="61"/>
      <c r="F460" s="60"/>
      <c r="G460" s="60"/>
      <c r="H460" s="49"/>
      <c r="I460" s="49"/>
      <c r="J460" s="58"/>
      <c r="K460" s="58"/>
      <c r="L460" s="59"/>
      <c r="M460" s="61"/>
      <c r="N460" s="60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</row>
    <row r="461" spans="1:27" ht="18" customHeight="1">
      <c r="A461" s="50"/>
      <c r="B461" s="49"/>
      <c r="C461" s="58"/>
      <c r="D461" s="59"/>
      <c r="E461" s="61"/>
      <c r="F461" s="60"/>
      <c r="G461" s="60"/>
      <c r="H461" s="49"/>
      <c r="I461" s="49"/>
      <c r="J461" s="58"/>
      <c r="K461" s="58"/>
      <c r="L461" s="59"/>
      <c r="M461" s="61"/>
      <c r="N461" s="60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</row>
    <row r="462" spans="1:27" ht="18" customHeight="1">
      <c r="A462" s="50"/>
      <c r="B462" s="49"/>
      <c r="C462" s="58"/>
      <c r="D462" s="59"/>
      <c r="E462" s="61"/>
      <c r="F462" s="60"/>
      <c r="G462" s="60"/>
      <c r="H462" s="49"/>
      <c r="I462" s="49"/>
      <c r="J462" s="58"/>
      <c r="K462" s="58"/>
      <c r="L462" s="59"/>
      <c r="M462" s="61"/>
      <c r="N462" s="60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</row>
    <row r="463" spans="1:27" ht="18" customHeight="1">
      <c r="A463" s="50"/>
      <c r="B463" s="49"/>
      <c r="C463" s="58"/>
      <c r="D463" s="59"/>
      <c r="E463" s="61"/>
      <c r="F463" s="60"/>
      <c r="G463" s="60"/>
      <c r="H463" s="49"/>
      <c r="I463" s="49"/>
      <c r="J463" s="58"/>
      <c r="K463" s="58"/>
      <c r="L463" s="59"/>
      <c r="M463" s="61"/>
      <c r="N463" s="60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</row>
    <row r="464" spans="1:27" ht="18" customHeight="1">
      <c r="A464" s="50"/>
      <c r="B464" s="49"/>
      <c r="C464" s="58"/>
      <c r="D464" s="59"/>
      <c r="E464" s="61"/>
      <c r="F464" s="60"/>
      <c r="G464" s="60"/>
      <c r="H464" s="49"/>
      <c r="I464" s="49"/>
      <c r="J464" s="58"/>
      <c r="K464" s="58"/>
      <c r="L464" s="59"/>
      <c r="M464" s="61"/>
      <c r="N464" s="60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</row>
    <row r="465" spans="1:27" ht="18" customHeight="1">
      <c r="A465" s="50"/>
      <c r="B465" s="49"/>
      <c r="C465" s="58"/>
      <c r="D465" s="59"/>
      <c r="E465" s="61"/>
      <c r="F465" s="60"/>
      <c r="G465" s="60"/>
      <c r="H465" s="49"/>
      <c r="I465" s="49"/>
      <c r="J465" s="58"/>
      <c r="K465" s="58"/>
      <c r="L465" s="59"/>
      <c r="M465" s="61"/>
      <c r="N465" s="60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</row>
    <row r="466" spans="1:27" ht="18" customHeight="1">
      <c r="A466" s="50"/>
      <c r="B466" s="49"/>
      <c r="C466" s="58"/>
      <c r="D466" s="59"/>
      <c r="E466" s="61"/>
      <c r="F466" s="60"/>
      <c r="G466" s="60"/>
      <c r="H466" s="49"/>
      <c r="I466" s="49"/>
      <c r="J466" s="58"/>
      <c r="K466" s="58"/>
      <c r="L466" s="59"/>
      <c r="M466" s="61"/>
      <c r="N466" s="60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</row>
    <row r="467" spans="1:27" ht="18" customHeight="1">
      <c r="A467" s="50"/>
      <c r="B467" s="49"/>
      <c r="C467" s="58"/>
      <c r="D467" s="59"/>
      <c r="E467" s="61"/>
      <c r="F467" s="60"/>
      <c r="G467" s="60"/>
      <c r="H467" s="49"/>
      <c r="I467" s="49"/>
      <c r="J467" s="58"/>
      <c r="K467" s="58"/>
      <c r="L467" s="59"/>
      <c r="M467" s="61"/>
      <c r="N467" s="60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</row>
    <row r="468" spans="1:27" ht="18" customHeight="1">
      <c r="A468" s="50"/>
      <c r="B468" s="49"/>
      <c r="C468" s="58"/>
      <c r="D468" s="59"/>
      <c r="E468" s="61"/>
      <c r="F468" s="60"/>
      <c r="G468" s="60"/>
      <c r="H468" s="49"/>
      <c r="I468" s="49"/>
      <c r="J468" s="58"/>
      <c r="K468" s="58"/>
      <c r="L468" s="59"/>
      <c r="M468" s="61"/>
      <c r="N468" s="60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</row>
    <row r="469" spans="1:27" ht="18" customHeight="1">
      <c r="A469" s="50"/>
      <c r="B469" s="49"/>
      <c r="C469" s="58"/>
      <c r="D469" s="59"/>
      <c r="E469" s="61"/>
      <c r="F469" s="60"/>
      <c r="G469" s="60"/>
      <c r="H469" s="49"/>
      <c r="I469" s="49"/>
      <c r="J469" s="58"/>
      <c r="K469" s="58"/>
      <c r="L469" s="59"/>
      <c r="M469" s="61"/>
      <c r="N469" s="60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</row>
    <row r="470" spans="1:27" ht="18" customHeight="1">
      <c r="A470" s="50"/>
      <c r="B470" s="49"/>
      <c r="C470" s="58"/>
      <c r="D470" s="59"/>
      <c r="E470" s="61"/>
      <c r="F470" s="60"/>
      <c r="G470" s="60"/>
      <c r="H470" s="49"/>
      <c r="I470" s="49"/>
      <c r="J470" s="58"/>
      <c r="K470" s="58"/>
      <c r="L470" s="59"/>
      <c r="M470" s="61"/>
      <c r="N470" s="60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</row>
    <row r="471" spans="1:27" ht="18" customHeight="1">
      <c r="A471" s="50"/>
      <c r="B471" s="49"/>
      <c r="C471" s="58"/>
      <c r="D471" s="59"/>
      <c r="E471" s="61"/>
      <c r="F471" s="60"/>
      <c r="G471" s="60"/>
      <c r="H471" s="49"/>
      <c r="I471" s="49"/>
      <c r="J471" s="58"/>
      <c r="K471" s="58"/>
      <c r="L471" s="59"/>
      <c r="M471" s="61"/>
      <c r="N471" s="60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</row>
    <row r="472" spans="1:27" ht="18" customHeight="1">
      <c r="A472" s="50"/>
      <c r="B472" s="49"/>
      <c r="C472" s="58"/>
      <c r="D472" s="59"/>
      <c r="E472" s="61"/>
      <c r="F472" s="60"/>
      <c r="G472" s="60"/>
      <c r="H472" s="49"/>
      <c r="I472" s="49"/>
      <c r="J472" s="58"/>
      <c r="K472" s="58"/>
      <c r="L472" s="59"/>
      <c r="M472" s="61"/>
      <c r="N472" s="60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</row>
    <row r="473" spans="1:27" ht="18" customHeight="1">
      <c r="A473" s="50"/>
      <c r="B473" s="49"/>
      <c r="C473" s="58"/>
      <c r="D473" s="59"/>
      <c r="E473" s="61"/>
      <c r="F473" s="60"/>
      <c r="G473" s="60"/>
      <c r="H473" s="49"/>
      <c r="I473" s="49"/>
      <c r="J473" s="58"/>
      <c r="K473" s="58"/>
      <c r="L473" s="59"/>
      <c r="M473" s="61"/>
      <c r="N473" s="60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</row>
    <row r="474" spans="1:27" ht="18" customHeight="1">
      <c r="A474" s="50"/>
      <c r="B474" s="49"/>
      <c r="C474" s="58"/>
      <c r="D474" s="59"/>
      <c r="E474" s="61"/>
      <c r="F474" s="60"/>
      <c r="G474" s="60"/>
      <c r="H474" s="49"/>
      <c r="I474" s="49"/>
      <c r="J474" s="58"/>
      <c r="K474" s="58"/>
      <c r="L474" s="59"/>
      <c r="M474" s="61"/>
      <c r="N474" s="60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</row>
    <row r="475" spans="1:27" ht="18" customHeight="1">
      <c r="A475" s="50"/>
      <c r="B475" s="49"/>
      <c r="C475" s="58"/>
      <c r="D475" s="59"/>
      <c r="E475" s="61"/>
      <c r="F475" s="60"/>
      <c r="G475" s="60"/>
      <c r="H475" s="49"/>
      <c r="I475" s="49"/>
      <c r="J475" s="58"/>
      <c r="K475" s="58"/>
      <c r="L475" s="59"/>
      <c r="M475" s="61"/>
      <c r="N475" s="60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</row>
    <row r="476" spans="1:27" ht="18" customHeight="1">
      <c r="A476" s="50"/>
      <c r="B476" s="49"/>
      <c r="C476" s="58"/>
      <c r="D476" s="59"/>
      <c r="E476" s="61"/>
      <c r="F476" s="60"/>
      <c r="G476" s="60"/>
      <c r="H476" s="49"/>
      <c r="I476" s="49"/>
      <c r="J476" s="58"/>
      <c r="K476" s="58"/>
      <c r="L476" s="59"/>
      <c r="M476" s="61"/>
      <c r="N476" s="60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</row>
    <row r="477" spans="1:27" ht="18" customHeight="1">
      <c r="A477" s="50"/>
      <c r="B477" s="49"/>
      <c r="C477" s="58"/>
      <c r="D477" s="59"/>
      <c r="E477" s="61"/>
      <c r="F477" s="60"/>
      <c r="G477" s="60"/>
      <c r="H477" s="49"/>
      <c r="I477" s="49"/>
      <c r="J477" s="58"/>
      <c r="K477" s="58"/>
      <c r="L477" s="59"/>
      <c r="M477" s="61"/>
      <c r="N477" s="60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</row>
    <row r="478" spans="1:27" ht="18" customHeight="1">
      <c r="A478" s="50"/>
      <c r="B478" s="49"/>
      <c r="C478" s="58"/>
      <c r="D478" s="59"/>
      <c r="E478" s="61"/>
      <c r="F478" s="60"/>
      <c r="G478" s="60"/>
      <c r="H478" s="49"/>
      <c r="I478" s="49"/>
      <c r="J478" s="58"/>
      <c r="K478" s="58"/>
      <c r="L478" s="59"/>
      <c r="M478" s="61"/>
      <c r="N478" s="60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</row>
    <row r="479" spans="1:27" ht="18" customHeight="1">
      <c r="A479" s="50"/>
      <c r="B479" s="49"/>
      <c r="C479" s="58"/>
      <c r="D479" s="59"/>
      <c r="E479" s="61"/>
      <c r="F479" s="60"/>
      <c r="G479" s="60"/>
      <c r="H479" s="49"/>
      <c r="I479" s="49"/>
      <c r="J479" s="58"/>
      <c r="K479" s="58"/>
      <c r="L479" s="59"/>
      <c r="M479" s="61"/>
      <c r="N479" s="60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</row>
    <row r="480" spans="1:27" ht="18" customHeight="1">
      <c r="A480" s="50"/>
      <c r="B480" s="49"/>
      <c r="C480" s="58"/>
      <c r="D480" s="59"/>
      <c r="E480" s="61"/>
      <c r="F480" s="60"/>
      <c r="G480" s="60"/>
      <c r="H480" s="49"/>
      <c r="I480" s="49"/>
      <c r="J480" s="58"/>
      <c r="K480" s="58"/>
      <c r="L480" s="59"/>
      <c r="M480" s="61"/>
      <c r="N480" s="60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</row>
    <row r="481" spans="1:27" ht="18" customHeight="1">
      <c r="A481" s="50"/>
      <c r="B481" s="49"/>
      <c r="C481" s="58"/>
      <c r="D481" s="59"/>
      <c r="E481" s="61"/>
      <c r="F481" s="60"/>
      <c r="G481" s="60"/>
      <c r="H481" s="49"/>
      <c r="I481" s="49"/>
      <c r="J481" s="58"/>
      <c r="K481" s="58"/>
      <c r="L481" s="59"/>
      <c r="M481" s="61"/>
      <c r="N481" s="60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</row>
    <row r="482" spans="1:27" ht="18" customHeight="1">
      <c r="A482" s="50"/>
      <c r="B482" s="49"/>
      <c r="C482" s="58"/>
      <c r="D482" s="59"/>
      <c r="E482" s="61"/>
      <c r="F482" s="60"/>
      <c r="G482" s="60"/>
      <c r="H482" s="49"/>
      <c r="I482" s="49"/>
      <c r="J482" s="58"/>
      <c r="K482" s="58"/>
      <c r="L482" s="59"/>
      <c r="M482" s="61"/>
      <c r="N482" s="60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</row>
    <row r="483" spans="1:27" ht="18" customHeight="1">
      <c r="A483" s="50"/>
      <c r="B483" s="49"/>
      <c r="C483" s="58"/>
      <c r="D483" s="59"/>
      <c r="E483" s="61"/>
      <c r="F483" s="60"/>
      <c r="G483" s="60"/>
      <c r="H483" s="49"/>
      <c r="I483" s="49"/>
      <c r="J483" s="58"/>
      <c r="K483" s="58"/>
      <c r="L483" s="59"/>
      <c r="M483" s="61"/>
      <c r="N483" s="60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</row>
    <row r="484" spans="1:27" ht="18" customHeight="1">
      <c r="A484" s="50"/>
      <c r="B484" s="49"/>
      <c r="C484" s="58"/>
      <c r="D484" s="59"/>
      <c r="E484" s="61"/>
      <c r="F484" s="60"/>
      <c r="G484" s="60"/>
      <c r="H484" s="49"/>
      <c r="I484" s="49"/>
      <c r="J484" s="58"/>
      <c r="K484" s="58"/>
      <c r="L484" s="59"/>
      <c r="M484" s="61"/>
      <c r="N484" s="60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</row>
    <row r="485" spans="1:27" ht="18" customHeight="1">
      <c r="A485" s="50"/>
      <c r="B485" s="49"/>
      <c r="C485" s="58"/>
      <c r="D485" s="59"/>
      <c r="E485" s="61"/>
      <c r="F485" s="60"/>
      <c r="G485" s="60"/>
      <c r="H485" s="49"/>
      <c r="I485" s="49"/>
      <c r="J485" s="58"/>
      <c r="K485" s="58"/>
      <c r="L485" s="59"/>
      <c r="M485" s="61"/>
      <c r="N485" s="60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</row>
    <row r="486" spans="1:27" ht="18" customHeight="1">
      <c r="A486" s="50"/>
      <c r="B486" s="49"/>
      <c r="C486" s="58"/>
      <c r="D486" s="59"/>
      <c r="E486" s="61"/>
      <c r="F486" s="60"/>
      <c r="G486" s="60"/>
      <c r="H486" s="49"/>
      <c r="I486" s="49"/>
      <c r="J486" s="58"/>
      <c r="K486" s="58"/>
      <c r="L486" s="59"/>
      <c r="M486" s="61"/>
      <c r="N486" s="60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</row>
    <row r="487" spans="1:27" ht="18" customHeight="1">
      <c r="A487" s="50"/>
      <c r="B487" s="49"/>
      <c r="C487" s="58"/>
      <c r="D487" s="59"/>
      <c r="E487" s="61"/>
      <c r="F487" s="60"/>
      <c r="G487" s="60"/>
      <c r="H487" s="49"/>
      <c r="I487" s="49"/>
      <c r="J487" s="58"/>
      <c r="K487" s="58"/>
      <c r="L487" s="59"/>
      <c r="M487" s="61"/>
      <c r="N487" s="60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</row>
    <row r="488" spans="1:27" ht="18" customHeight="1">
      <c r="A488" s="50"/>
      <c r="B488" s="49"/>
      <c r="C488" s="58"/>
      <c r="D488" s="59"/>
      <c r="E488" s="61"/>
      <c r="F488" s="60"/>
      <c r="G488" s="60"/>
      <c r="H488" s="49"/>
      <c r="I488" s="49"/>
      <c r="J488" s="58"/>
      <c r="K488" s="58"/>
      <c r="L488" s="59"/>
      <c r="M488" s="61"/>
      <c r="N488" s="60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</row>
    <row r="489" spans="1:27" ht="18" customHeight="1">
      <c r="A489" s="50"/>
      <c r="B489" s="49"/>
      <c r="C489" s="58"/>
      <c r="D489" s="59"/>
      <c r="E489" s="61"/>
      <c r="F489" s="60"/>
      <c r="G489" s="60"/>
      <c r="H489" s="49"/>
      <c r="I489" s="49"/>
      <c r="J489" s="58"/>
      <c r="K489" s="58"/>
      <c r="L489" s="59"/>
      <c r="M489" s="61"/>
      <c r="N489" s="60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</row>
    <row r="490" spans="1:27" ht="18" customHeight="1">
      <c r="A490" s="50"/>
      <c r="B490" s="49"/>
      <c r="C490" s="58"/>
      <c r="D490" s="59"/>
      <c r="E490" s="61"/>
      <c r="F490" s="60"/>
      <c r="G490" s="60"/>
      <c r="H490" s="49"/>
      <c r="I490" s="49"/>
      <c r="J490" s="58"/>
      <c r="K490" s="58"/>
      <c r="L490" s="59"/>
      <c r="M490" s="61"/>
      <c r="N490" s="60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</row>
    <row r="491" spans="1:27" ht="18" customHeight="1">
      <c r="A491" s="50"/>
      <c r="B491" s="49"/>
      <c r="C491" s="58"/>
      <c r="D491" s="59"/>
      <c r="E491" s="61"/>
      <c r="F491" s="60"/>
      <c r="G491" s="60"/>
      <c r="H491" s="49"/>
      <c r="I491" s="49"/>
      <c r="J491" s="58"/>
      <c r="K491" s="58"/>
      <c r="L491" s="59"/>
      <c r="M491" s="61"/>
      <c r="N491" s="60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</row>
    <row r="492" spans="1:27" ht="18" customHeight="1">
      <c r="A492" s="50"/>
      <c r="B492" s="49"/>
      <c r="C492" s="58"/>
      <c r="D492" s="59"/>
      <c r="E492" s="61"/>
      <c r="F492" s="60"/>
      <c r="G492" s="60"/>
      <c r="H492" s="49"/>
      <c r="I492" s="49"/>
      <c r="J492" s="58"/>
      <c r="K492" s="58"/>
      <c r="L492" s="59"/>
      <c r="M492" s="61"/>
      <c r="N492" s="60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</row>
    <row r="493" spans="1:27" ht="18" customHeight="1">
      <c r="A493" s="50"/>
      <c r="B493" s="49"/>
      <c r="C493" s="58"/>
      <c r="D493" s="59"/>
      <c r="E493" s="61"/>
      <c r="F493" s="60"/>
      <c r="G493" s="60"/>
      <c r="H493" s="49"/>
      <c r="I493" s="49"/>
      <c r="J493" s="58"/>
      <c r="K493" s="58"/>
      <c r="L493" s="59"/>
      <c r="M493" s="61"/>
      <c r="N493" s="60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</row>
    <row r="494" spans="1:27" ht="18" customHeight="1">
      <c r="A494" s="50"/>
      <c r="B494" s="49"/>
      <c r="C494" s="58"/>
      <c r="D494" s="59"/>
      <c r="E494" s="61"/>
      <c r="F494" s="60"/>
      <c r="G494" s="60"/>
      <c r="H494" s="49"/>
      <c r="I494" s="49"/>
      <c r="J494" s="58"/>
      <c r="K494" s="58"/>
      <c r="L494" s="59"/>
      <c r="M494" s="61"/>
      <c r="N494" s="60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</row>
    <row r="495" spans="1:27" ht="18" customHeight="1">
      <c r="A495" s="50"/>
      <c r="B495" s="49"/>
      <c r="C495" s="58"/>
      <c r="D495" s="59"/>
      <c r="E495" s="61"/>
      <c r="F495" s="60"/>
      <c r="G495" s="60"/>
      <c r="H495" s="49"/>
      <c r="I495" s="49"/>
      <c r="J495" s="58"/>
      <c r="K495" s="58"/>
      <c r="L495" s="59"/>
      <c r="M495" s="61"/>
      <c r="N495" s="60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</row>
    <row r="496" spans="1:27" ht="18" customHeight="1">
      <c r="A496" s="50"/>
      <c r="B496" s="49"/>
      <c r="C496" s="58"/>
      <c r="D496" s="59"/>
      <c r="E496" s="61"/>
      <c r="F496" s="60"/>
      <c r="G496" s="60"/>
      <c r="H496" s="49"/>
      <c r="I496" s="49"/>
      <c r="J496" s="58"/>
      <c r="K496" s="58"/>
      <c r="L496" s="59"/>
      <c r="M496" s="61"/>
      <c r="N496" s="60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</row>
    <row r="497" spans="1:27" ht="18" customHeight="1">
      <c r="A497" s="50"/>
      <c r="B497" s="49"/>
      <c r="C497" s="58"/>
      <c r="D497" s="59"/>
      <c r="E497" s="61"/>
      <c r="F497" s="60"/>
      <c r="G497" s="60"/>
      <c r="H497" s="49"/>
      <c r="I497" s="49"/>
      <c r="J497" s="58"/>
      <c r="K497" s="58"/>
      <c r="L497" s="59"/>
      <c r="M497" s="61"/>
      <c r="N497" s="60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</row>
    <row r="498" spans="1:27" ht="18" customHeight="1">
      <c r="A498" s="50"/>
      <c r="B498" s="49"/>
      <c r="C498" s="58"/>
      <c r="D498" s="59"/>
      <c r="E498" s="61"/>
      <c r="F498" s="60"/>
      <c r="G498" s="60"/>
      <c r="H498" s="49"/>
      <c r="I498" s="49"/>
      <c r="J498" s="58"/>
      <c r="K498" s="58"/>
      <c r="L498" s="59"/>
      <c r="M498" s="61"/>
      <c r="N498" s="60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</row>
    <row r="499" spans="1:27" ht="18" customHeight="1">
      <c r="A499" s="50"/>
      <c r="B499" s="49"/>
      <c r="C499" s="58"/>
      <c r="D499" s="59"/>
      <c r="E499" s="61"/>
      <c r="F499" s="60"/>
      <c r="G499" s="60"/>
      <c r="H499" s="49"/>
      <c r="I499" s="49"/>
      <c r="J499" s="58"/>
      <c r="K499" s="58"/>
      <c r="L499" s="59"/>
      <c r="M499" s="61"/>
      <c r="N499" s="60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</row>
    <row r="500" spans="1:27" ht="18" customHeight="1">
      <c r="A500" s="50"/>
      <c r="B500" s="49"/>
      <c r="C500" s="58"/>
      <c r="D500" s="59"/>
      <c r="E500" s="61"/>
      <c r="F500" s="60"/>
      <c r="G500" s="60"/>
      <c r="H500" s="49"/>
      <c r="I500" s="49"/>
      <c r="J500" s="58"/>
      <c r="K500" s="58"/>
      <c r="L500" s="59"/>
      <c r="M500" s="61"/>
      <c r="N500" s="60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</row>
    <row r="501" spans="1:27" ht="18" customHeight="1">
      <c r="A501" s="50"/>
      <c r="B501" s="49"/>
      <c r="C501" s="58"/>
      <c r="D501" s="59"/>
      <c r="E501" s="61"/>
      <c r="F501" s="60"/>
      <c r="G501" s="60"/>
      <c r="H501" s="49"/>
      <c r="I501" s="49"/>
      <c r="J501" s="58"/>
      <c r="K501" s="58"/>
      <c r="L501" s="59"/>
      <c r="M501" s="61"/>
      <c r="N501" s="60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</row>
    <row r="502" spans="1:27" ht="18" customHeight="1">
      <c r="A502" s="50"/>
      <c r="B502" s="49"/>
      <c r="C502" s="58"/>
      <c r="D502" s="59"/>
      <c r="E502" s="61"/>
      <c r="F502" s="60"/>
      <c r="G502" s="60"/>
      <c r="H502" s="49"/>
      <c r="I502" s="49"/>
      <c r="J502" s="58"/>
      <c r="K502" s="58"/>
      <c r="L502" s="59"/>
      <c r="M502" s="61"/>
      <c r="N502" s="60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</row>
    <row r="503" spans="1:27" ht="18" customHeight="1">
      <c r="A503" s="50"/>
      <c r="B503" s="49"/>
      <c r="C503" s="58"/>
      <c r="D503" s="59"/>
      <c r="E503" s="61"/>
      <c r="F503" s="60"/>
      <c r="G503" s="60"/>
      <c r="H503" s="49"/>
      <c r="I503" s="49"/>
      <c r="J503" s="58"/>
      <c r="K503" s="58"/>
      <c r="L503" s="59"/>
      <c r="M503" s="61"/>
      <c r="N503" s="60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</row>
    <row r="504" spans="1:27" ht="18" customHeight="1">
      <c r="A504" s="50"/>
      <c r="B504" s="49"/>
      <c r="C504" s="58"/>
      <c r="D504" s="59"/>
      <c r="E504" s="61"/>
      <c r="F504" s="60"/>
      <c r="G504" s="60"/>
      <c r="H504" s="49"/>
      <c r="I504" s="49"/>
      <c r="J504" s="58"/>
      <c r="K504" s="58"/>
      <c r="L504" s="59"/>
      <c r="M504" s="61"/>
      <c r="N504" s="60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</row>
    <row r="505" spans="1:27" ht="18" customHeight="1">
      <c r="A505" s="50"/>
      <c r="B505" s="49"/>
      <c r="C505" s="58"/>
      <c r="D505" s="59"/>
      <c r="E505" s="61"/>
      <c r="F505" s="60"/>
      <c r="G505" s="60"/>
      <c r="H505" s="49"/>
      <c r="I505" s="49"/>
      <c r="J505" s="58"/>
      <c r="K505" s="58"/>
      <c r="L505" s="59"/>
      <c r="M505" s="61"/>
      <c r="N505" s="60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</row>
    <row r="506" spans="1:27" ht="18" customHeight="1">
      <c r="A506" s="50"/>
      <c r="B506" s="49"/>
      <c r="C506" s="58"/>
      <c r="D506" s="59"/>
      <c r="E506" s="61"/>
      <c r="F506" s="60"/>
      <c r="G506" s="60"/>
      <c r="H506" s="49"/>
      <c r="I506" s="49"/>
      <c r="J506" s="58"/>
      <c r="K506" s="58"/>
      <c r="L506" s="59"/>
      <c r="M506" s="61"/>
      <c r="N506" s="60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</row>
    <row r="507" spans="1:27" ht="18" customHeight="1">
      <c r="A507" s="50"/>
      <c r="B507" s="49"/>
      <c r="C507" s="58"/>
      <c r="D507" s="59"/>
      <c r="E507" s="61"/>
      <c r="F507" s="60"/>
      <c r="G507" s="60"/>
      <c r="H507" s="49"/>
      <c r="I507" s="49"/>
      <c r="J507" s="58"/>
      <c r="K507" s="58"/>
      <c r="L507" s="59"/>
      <c r="M507" s="61"/>
      <c r="N507" s="60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</row>
    <row r="508" spans="1:27" ht="18" customHeight="1">
      <c r="A508" s="50"/>
      <c r="B508" s="49"/>
      <c r="C508" s="58"/>
      <c r="D508" s="59"/>
      <c r="E508" s="61"/>
      <c r="F508" s="60"/>
      <c r="G508" s="60"/>
      <c r="H508" s="49"/>
      <c r="I508" s="49"/>
      <c r="J508" s="58"/>
      <c r="K508" s="58"/>
      <c r="L508" s="59"/>
      <c r="M508" s="61"/>
      <c r="N508" s="60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</row>
    <row r="509" spans="1:27" ht="18" customHeight="1">
      <c r="A509" s="50"/>
      <c r="B509" s="49"/>
      <c r="C509" s="58"/>
      <c r="D509" s="59"/>
      <c r="E509" s="61"/>
      <c r="F509" s="60"/>
      <c r="G509" s="60"/>
      <c r="H509" s="49"/>
      <c r="I509" s="49"/>
      <c r="J509" s="58"/>
      <c r="K509" s="58"/>
      <c r="L509" s="59"/>
      <c r="M509" s="61"/>
      <c r="N509" s="60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</row>
    <row r="510" spans="1:27" ht="18" customHeight="1">
      <c r="A510" s="50"/>
      <c r="B510" s="49"/>
      <c r="C510" s="58"/>
      <c r="D510" s="59"/>
      <c r="E510" s="61"/>
      <c r="F510" s="60"/>
      <c r="G510" s="60"/>
      <c r="H510" s="49"/>
      <c r="I510" s="49"/>
      <c r="J510" s="58"/>
      <c r="K510" s="58"/>
      <c r="L510" s="59"/>
      <c r="M510" s="61"/>
      <c r="N510" s="60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</row>
    <row r="511" spans="1:27" ht="18" customHeight="1">
      <c r="A511" s="50"/>
      <c r="B511" s="49"/>
      <c r="C511" s="58"/>
      <c r="D511" s="59"/>
      <c r="E511" s="61"/>
      <c r="F511" s="60"/>
      <c r="G511" s="60"/>
      <c r="H511" s="49"/>
      <c r="I511" s="49"/>
      <c r="J511" s="58"/>
      <c r="K511" s="58"/>
      <c r="L511" s="59"/>
      <c r="M511" s="61"/>
      <c r="N511" s="60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</row>
    <row r="512" spans="1:27" ht="18" customHeight="1">
      <c r="A512" s="50"/>
      <c r="B512" s="49"/>
      <c r="C512" s="58"/>
      <c r="D512" s="59"/>
      <c r="E512" s="61"/>
      <c r="F512" s="60"/>
      <c r="G512" s="60"/>
      <c r="H512" s="49"/>
      <c r="I512" s="49"/>
      <c r="J512" s="58"/>
      <c r="K512" s="58"/>
      <c r="L512" s="59"/>
      <c r="M512" s="61"/>
      <c r="N512" s="60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</row>
    <row r="513" spans="1:27" ht="18" customHeight="1">
      <c r="A513" s="50"/>
      <c r="B513" s="49"/>
      <c r="C513" s="58"/>
      <c r="D513" s="59"/>
      <c r="E513" s="61"/>
      <c r="F513" s="60"/>
      <c r="G513" s="60"/>
      <c r="H513" s="49"/>
      <c r="I513" s="49"/>
      <c r="J513" s="58"/>
      <c r="K513" s="58"/>
      <c r="L513" s="59"/>
      <c r="M513" s="61"/>
      <c r="N513" s="60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</row>
    <row r="514" spans="1:27" ht="18" customHeight="1">
      <c r="A514" s="50"/>
      <c r="B514" s="49"/>
      <c r="C514" s="58"/>
      <c r="D514" s="59"/>
      <c r="E514" s="61"/>
      <c r="F514" s="60"/>
      <c r="G514" s="60"/>
      <c r="H514" s="49"/>
      <c r="I514" s="49"/>
      <c r="J514" s="58"/>
      <c r="K514" s="58"/>
      <c r="L514" s="59"/>
      <c r="M514" s="61"/>
      <c r="N514" s="60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</row>
    <row r="515" spans="1:27" ht="18" customHeight="1">
      <c r="A515" s="50"/>
      <c r="B515" s="49"/>
      <c r="C515" s="58"/>
      <c r="D515" s="59"/>
      <c r="E515" s="61"/>
      <c r="F515" s="60"/>
      <c r="G515" s="60"/>
      <c r="H515" s="49"/>
      <c r="I515" s="49"/>
      <c r="J515" s="58"/>
      <c r="K515" s="58"/>
      <c r="L515" s="59"/>
      <c r="M515" s="61"/>
      <c r="N515" s="60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</row>
    <row r="516" spans="1:27" ht="18" customHeight="1">
      <c r="A516" s="50"/>
      <c r="B516" s="49"/>
      <c r="C516" s="58"/>
      <c r="D516" s="59"/>
      <c r="E516" s="61"/>
      <c r="F516" s="60"/>
      <c r="G516" s="60"/>
      <c r="H516" s="49"/>
      <c r="I516" s="49"/>
      <c r="J516" s="58"/>
      <c r="K516" s="58"/>
      <c r="L516" s="59"/>
      <c r="M516" s="61"/>
      <c r="N516" s="60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</row>
    <row r="517" spans="1:27" ht="18" customHeight="1">
      <c r="A517" s="50"/>
      <c r="B517" s="49"/>
      <c r="C517" s="58"/>
      <c r="D517" s="59"/>
      <c r="E517" s="61"/>
      <c r="F517" s="60"/>
      <c r="G517" s="60"/>
      <c r="H517" s="49"/>
      <c r="I517" s="49"/>
      <c r="J517" s="58"/>
      <c r="K517" s="58"/>
      <c r="L517" s="59"/>
      <c r="M517" s="61"/>
      <c r="N517" s="60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</row>
    <row r="518" spans="1:27" ht="18" customHeight="1">
      <c r="A518" s="50"/>
      <c r="B518" s="49"/>
      <c r="C518" s="58"/>
      <c r="D518" s="59"/>
      <c r="E518" s="61"/>
      <c r="F518" s="60"/>
      <c r="G518" s="60"/>
      <c r="H518" s="49"/>
      <c r="I518" s="49"/>
      <c r="J518" s="58"/>
      <c r="K518" s="58"/>
      <c r="L518" s="59"/>
      <c r="M518" s="61"/>
      <c r="N518" s="60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</row>
    <row r="519" spans="1:27" ht="18" customHeight="1">
      <c r="A519" s="50"/>
      <c r="B519" s="49"/>
      <c r="C519" s="58"/>
      <c r="D519" s="59"/>
      <c r="E519" s="61"/>
      <c r="F519" s="60"/>
      <c r="G519" s="60"/>
      <c r="H519" s="49"/>
      <c r="I519" s="49"/>
      <c r="J519" s="58"/>
      <c r="K519" s="58"/>
      <c r="L519" s="59"/>
      <c r="M519" s="61"/>
      <c r="N519" s="60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</row>
    <row r="520" spans="1:27" ht="18" customHeight="1">
      <c r="A520" s="50"/>
      <c r="B520" s="49"/>
      <c r="C520" s="58"/>
      <c r="D520" s="59"/>
      <c r="E520" s="61"/>
      <c r="F520" s="60"/>
      <c r="G520" s="60"/>
      <c r="H520" s="49"/>
      <c r="I520" s="49"/>
      <c r="J520" s="58"/>
      <c r="K520" s="58"/>
      <c r="L520" s="59"/>
      <c r="M520" s="61"/>
      <c r="N520" s="60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</row>
    <row r="521" spans="1:27" ht="18" customHeight="1">
      <c r="A521" s="50"/>
      <c r="B521" s="49"/>
      <c r="C521" s="58"/>
      <c r="D521" s="59"/>
      <c r="E521" s="61"/>
      <c r="F521" s="60"/>
      <c r="G521" s="60"/>
      <c r="H521" s="49"/>
      <c r="I521" s="49"/>
      <c r="J521" s="58"/>
      <c r="K521" s="58"/>
      <c r="L521" s="59"/>
      <c r="M521" s="61"/>
      <c r="N521" s="60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</row>
    <row r="522" spans="1:27" ht="18" customHeight="1">
      <c r="A522" s="50"/>
      <c r="B522" s="49"/>
      <c r="C522" s="58"/>
      <c r="D522" s="59"/>
      <c r="E522" s="61"/>
      <c r="F522" s="60"/>
      <c r="G522" s="60"/>
      <c r="H522" s="49"/>
      <c r="I522" s="49"/>
      <c r="J522" s="58"/>
      <c r="K522" s="58"/>
      <c r="L522" s="59"/>
      <c r="M522" s="61"/>
      <c r="N522" s="60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</row>
    <row r="523" spans="1:27" ht="18" customHeight="1">
      <c r="A523" s="50"/>
      <c r="B523" s="49"/>
      <c r="C523" s="58"/>
      <c r="D523" s="59"/>
      <c r="E523" s="61"/>
      <c r="F523" s="60"/>
      <c r="G523" s="60"/>
      <c r="H523" s="49"/>
      <c r="I523" s="49"/>
      <c r="J523" s="58"/>
      <c r="K523" s="58"/>
      <c r="L523" s="59"/>
      <c r="M523" s="61"/>
      <c r="N523" s="60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</row>
    <row r="524" spans="1:27" ht="18" customHeight="1">
      <c r="A524" s="50"/>
      <c r="B524" s="49"/>
      <c r="C524" s="58"/>
      <c r="D524" s="59"/>
      <c r="E524" s="61"/>
      <c r="F524" s="60"/>
      <c r="G524" s="60"/>
      <c r="H524" s="49"/>
      <c r="I524" s="49"/>
      <c r="J524" s="58"/>
      <c r="K524" s="58"/>
      <c r="L524" s="59"/>
      <c r="M524" s="61"/>
      <c r="N524" s="60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</row>
    <row r="525" spans="1:27" ht="18" customHeight="1">
      <c r="A525" s="50"/>
      <c r="B525" s="49"/>
      <c r="C525" s="58"/>
      <c r="D525" s="59"/>
      <c r="E525" s="61"/>
      <c r="F525" s="60"/>
      <c r="G525" s="60"/>
      <c r="H525" s="49"/>
      <c r="I525" s="49"/>
      <c r="J525" s="58"/>
      <c r="K525" s="58"/>
      <c r="L525" s="59"/>
      <c r="M525" s="61"/>
      <c r="N525" s="60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</row>
    <row r="526" spans="1:27" ht="18" customHeight="1">
      <c r="A526" s="50"/>
      <c r="B526" s="49"/>
      <c r="C526" s="58"/>
      <c r="D526" s="59"/>
      <c r="E526" s="61"/>
      <c r="F526" s="60"/>
      <c r="G526" s="60"/>
      <c r="H526" s="49"/>
      <c r="I526" s="49"/>
      <c r="J526" s="58"/>
      <c r="K526" s="58"/>
      <c r="L526" s="59"/>
      <c r="M526" s="61"/>
      <c r="N526" s="60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</row>
    <row r="527" spans="1:27" ht="18" customHeight="1">
      <c r="A527" s="50"/>
      <c r="B527" s="49"/>
      <c r="C527" s="58"/>
      <c r="D527" s="59"/>
      <c r="E527" s="61"/>
      <c r="F527" s="60"/>
      <c r="G527" s="60"/>
      <c r="H527" s="49"/>
      <c r="I527" s="49"/>
      <c r="J527" s="58"/>
      <c r="K527" s="58"/>
      <c r="L527" s="59"/>
      <c r="M527" s="61"/>
      <c r="N527" s="60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</row>
    <row r="528" spans="1:27" ht="18" customHeight="1">
      <c r="A528" s="50"/>
      <c r="B528" s="49"/>
      <c r="C528" s="58"/>
      <c r="D528" s="59"/>
      <c r="E528" s="61"/>
      <c r="F528" s="60"/>
      <c r="G528" s="60"/>
      <c r="H528" s="49"/>
      <c r="I528" s="49"/>
      <c r="J528" s="58"/>
      <c r="K528" s="58"/>
      <c r="L528" s="59"/>
      <c r="M528" s="61"/>
      <c r="N528" s="60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</row>
    <row r="529" spans="1:27" ht="18" customHeight="1">
      <c r="A529" s="50"/>
      <c r="B529" s="49"/>
      <c r="C529" s="58"/>
      <c r="D529" s="59"/>
      <c r="E529" s="61"/>
      <c r="F529" s="60"/>
      <c r="G529" s="60"/>
      <c r="H529" s="49"/>
      <c r="I529" s="49"/>
      <c r="J529" s="58"/>
      <c r="K529" s="58"/>
      <c r="L529" s="59"/>
      <c r="M529" s="61"/>
      <c r="N529" s="60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</row>
    <row r="530" spans="1:27" ht="18" customHeight="1">
      <c r="A530" s="50"/>
      <c r="B530" s="49"/>
      <c r="C530" s="58"/>
      <c r="D530" s="59"/>
      <c r="E530" s="61"/>
      <c r="F530" s="60"/>
      <c r="G530" s="60"/>
      <c r="H530" s="49"/>
      <c r="I530" s="49"/>
      <c r="J530" s="58"/>
      <c r="K530" s="58"/>
      <c r="L530" s="59"/>
      <c r="M530" s="61"/>
      <c r="N530" s="60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</row>
    <row r="531" spans="1:27" ht="18" customHeight="1">
      <c r="A531" s="50"/>
      <c r="B531" s="49"/>
      <c r="C531" s="58"/>
      <c r="D531" s="59"/>
      <c r="E531" s="61"/>
      <c r="F531" s="60"/>
      <c r="G531" s="60"/>
      <c r="H531" s="49"/>
      <c r="I531" s="49"/>
      <c r="J531" s="58"/>
      <c r="K531" s="58"/>
      <c r="L531" s="59"/>
      <c r="M531" s="61"/>
      <c r="N531" s="60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</row>
    <row r="532" spans="1:27" ht="18" customHeight="1">
      <c r="A532" s="50"/>
      <c r="B532" s="49"/>
      <c r="C532" s="58"/>
      <c r="D532" s="59"/>
      <c r="E532" s="61"/>
      <c r="F532" s="60"/>
      <c r="G532" s="60"/>
      <c r="H532" s="49"/>
      <c r="I532" s="49"/>
      <c r="J532" s="58"/>
      <c r="K532" s="58"/>
      <c r="L532" s="59"/>
      <c r="M532" s="61"/>
      <c r="N532" s="60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</row>
    <row r="533" spans="1:27" ht="18" customHeight="1">
      <c r="A533" s="50"/>
      <c r="B533" s="49"/>
      <c r="C533" s="58"/>
      <c r="D533" s="59"/>
      <c r="E533" s="61"/>
      <c r="F533" s="60"/>
      <c r="G533" s="60"/>
      <c r="H533" s="49"/>
      <c r="I533" s="49"/>
      <c r="J533" s="58"/>
      <c r="K533" s="58"/>
      <c r="L533" s="59"/>
      <c r="M533" s="61"/>
      <c r="N533" s="60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</row>
    <row r="534" spans="1:27" ht="18" customHeight="1">
      <c r="A534" s="50"/>
      <c r="B534" s="49"/>
      <c r="C534" s="58"/>
      <c r="D534" s="59"/>
      <c r="E534" s="61"/>
      <c r="F534" s="60"/>
      <c r="G534" s="60"/>
      <c r="H534" s="49"/>
      <c r="I534" s="49"/>
      <c r="J534" s="58"/>
      <c r="K534" s="58"/>
      <c r="L534" s="59"/>
      <c r="M534" s="61"/>
      <c r="N534" s="60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</row>
    <row r="535" spans="1:27" ht="18" customHeight="1">
      <c r="A535" s="50"/>
      <c r="B535" s="49"/>
      <c r="C535" s="58"/>
      <c r="D535" s="59"/>
      <c r="E535" s="61"/>
      <c r="F535" s="60"/>
      <c r="G535" s="60"/>
      <c r="H535" s="49"/>
      <c r="I535" s="49"/>
      <c r="J535" s="58"/>
      <c r="K535" s="58"/>
      <c r="L535" s="59"/>
      <c r="M535" s="61"/>
      <c r="N535" s="60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</row>
    <row r="536" spans="1:27" ht="18" customHeight="1">
      <c r="A536" s="50"/>
      <c r="B536" s="49"/>
      <c r="C536" s="58"/>
      <c r="D536" s="59"/>
      <c r="E536" s="61"/>
      <c r="F536" s="60"/>
      <c r="G536" s="60"/>
      <c r="H536" s="49"/>
      <c r="I536" s="49"/>
      <c r="J536" s="58"/>
      <c r="K536" s="58"/>
      <c r="L536" s="59"/>
      <c r="M536" s="61"/>
      <c r="N536" s="60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</row>
    <row r="537" spans="1:27" ht="18" customHeight="1">
      <c r="A537" s="50"/>
      <c r="B537" s="49"/>
      <c r="C537" s="58"/>
      <c r="D537" s="59"/>
      <c r="E537" s="61"/>
      <c r="F537" s="60"/>
      <c r="G537" s="60"/>
      <c r="H537" s="49"/>
      <c r="I537" s="49"/>
      <c r="J537" s="58"/>
      <c r="K537" s="58"/>
      <c r="L537" s="59"/>
      <c r="M537" s="61"/>
      <c r="N537" s="60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</row>
    <row r="538" spans="1:27" ht="18" customHeight="1">
      <c r="A538" s="50"/>
      <c r="B538" s="49"/>
      <c r="C538" s="58"/>
      <c r="D538" s="59"/>
      <c r="E538" s="61"/>
      <c r="F538" s="60"/>
      <c r="G538" s="60"/>
      <c r="H538" s="49"/>
      <c r="I538" s="49"/>
      <c r="J538" s="58"/>
      <c r="K538" s="58"/>
      <c r="L538" s="59"/>
      <c r="M538" s="61"/>
      <c r="N538" s="60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</row>
    <row r="539" spans="1:27" ht="18" customHeight="1">
      <c r="A539" s="50"/>
      <c r="B539" s="49"/>
      <c r="C539" s="58"/>
      <c r="D539" s="59"/>
      <c r="E539" s="61"/>
      <c r="F539" s="60"/>
      <c r="G539" s="60"/>
      <c r="H539" s="49"/>
      <c r="I539" s="49"/>
      <c r="J539" s="58"/>
      <c r="K539" s="58"/>
      <c r="L539" s="59"/>
      <c r="M539" s="61"/>
      <c r="N539" s="60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</row>
    <row r="540" spans="1:27" ht="18" customHeight="1">
      <c r="A540" s="50"/>
      <c r="B540" s="49"/>
      <c r="C540" s="58"/>
      <c r="D540" s="59"/>
      <c r="E540" s="61"/>
      <c r="F540" s="60"/>
      <c r="G540" s="60"/>
      <c r="H540" s="49"/>
      <c r="I540" s="49"/>
      <c r="J540" s="58"/>
      <c r="K540" s="58"/>
      <c r="L540" s="59"/>
      <c r="M540" s="61"/>
      <c r="N540" s="60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</row>
    <row r="541" spans="1:27" ht="18" customHeight="1">
      <c r="A541" s="50"/>
      <c r="B541" s="49"/>
      <c r="C541" s="58"/>
      <c r="D541" s="59"/>
      <c r="E541" s="61"/>
      <c r="F541" s="60"/>
      <c r="G541" s="60"/>
      <c r="H541" s="49"/>
      <c r="I541" s="49"/>
      <c r="J541" s="58"/>
      <c r="K541" s="58"/>
      <c r="L541" s="59"/>
      <c r="M541" s="61"/>
      <c r="N541" s="60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</row>
    <row r="542" spans="1:27" ht="18" customHeight="1">
      <c r="A542" s="50"/>
      <c r="B542" s="49"/>
      <c r="C542" s="58"/>
      <c r="D542" s="59"/>
      <c r="E542" s="61"/>
      <c r="F542" s="60"/>
      <c r="G542" s="60"/>
      <c r="H542" s="49"/>
      <c r="I542" s="49"/>
      <c r="J542" s="58"/>
      <c r="K542" s="58"/>
      <c r="L542" s="59"/>
      <c r="M542" s="61"/>
      <c r="N542" s="60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</row>
    <row r="543" spans="1:27" ht="18" customHeight="1">
      <c r="A543" s="50"/>
      <c r="B543" s="49"/>
      <c r="C543" s="58"/>
      <c r="D543" s="59"/>
      <c r="E543" s="61"/>
      <c r="F543" s="60"/>
      <c r="G543" s="60"/>
      <c r="H543" s="49"/>
      <c r="I543" s="49"/>
      <c r="J543" s="58"/>
      <c r="K543" s="58"/>
      <c r="L543" s="59"/>
      <c r="M543" s="61"/>
      <c r="N543" s="60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</row>
    <row r="544" spans="1:27" ht="18" customHeight="1">
      <c r="A544" s="50"/>
      <c r="B544" s="49"/>
      <c r="C544" s="58"/>
      <c r="D544" s="59"/>
      <c r="E544" s="61"/>
      <c r="F544" s="60"/>
      <c r="G544" s="60"/>
      <c r="H544" s="49"/>
      <c r="I544" s="49"/>
      <c r="J544" s="58"/>
      <c r="K544" s="58"/>
      <c r="L544" s="59"/>
      <c r="M544" s="61"/>
      <c r="N544" s="60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</row>
    <row r="545" spans="1:27" ht="18" customHeight="1">
      <c r="A545" s="50"/>
      <c r="B545" s="49"/>
      <c r="C545" s="58"/>
      <c r="D545" s="59"/>
      <c r="E545" s="61"/>
      <c r="F545" s="60"/>
      <c r="G545" s="60"/>
      <c r="H545" s="49"/>
      <c r="I545" s="49"/>
      <c r="J545" s="58"/>
      <c r="K545" s="58"/>
      <c r="L545" s="59"/>
      <c r="M545" s="61"/>
      <c r="N545" s="60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</row>
    <row r="546" spans="1:27" ht="18" customHeight="1">
      <c r="A546" s="50"/>
      <c r="B546" s="49"/>
      <c r="C546" s="58"/>
      <c r="D546" s="59"/>
      <c r="E546" s="61"/>
      <c r="F546" s="60"/>
      <c r="G546" s="60"/>
      <c r="H546" s="49"/>
      <c r="I546" s="49"/>
      <c r="J546" s="58"/>
      <c r="K546" s="58"/>
      <c r="L546" s="59"/>
      <c r="M546" s="61"/>
      <c r="N546" s="60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</row>
    <row r="547" spans="1:27" ht="18" customHeight="1">
      <c r="A547" s="50"/>
      <c r="B547" s="49"/>
      <c r="C547" s="58"/>
      <c r="D547" s="59"/>
      <c r="E547" s="61"/>
      <c r="F547" s="60"/>
      <c r="G547" s="60"/>
      <c r="H547" s="49"/>
      <c r="I547" s="49"/>
      <c r="J547" s="58"/>
      <c r="K547" s="58"/>
      <c r="L547" s="59"/>
      <c r="M547" s="61"/>
      <c r="N547" s="60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</row>
    <row r="548" spans="1:27" ht="18" customHeight="1">
      <c r="A548" s="50"/>
      <c r="B548" s="49"/>
      <c r="C548" s="58"/>
      <c r="D548" s="59"/>
      <c r="E548" s="61"/>
      <c r="F548" s="60"/>
      <c r="G548" s="60"/>
      <c r="H548" s="49"/>
      <c r="I548" s="49"/>
      <c r="J548" s="58"/>
      <c r="K548" s="58"/>
      <c r="L548" s="59"/>
      <c r="M548" s="61"/>
      <c r="N548" s="60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</row>
    <row r="549" spans="1:27" ht="18" customHeight="1">
      <c r="A549" s="50"/>
      <c r="B549" s="49"/>
      <c r="C549" s="58"/>
      <c r="D549" s="59"/>
      <c r="E549" s="61"/>
      <c r="F549" s="60"/>
      <c r="G549" s="60"/>
      <c r="H549" s="49"/>
      <c r="I549" s="49"/>
      <c r="J549" s="58"/>
      <c r="K549" s="58"/>
      <c r="L549" s="59"/>
      <c r="M549" s="61"/>
      <c r="N549" s="60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</row>
    <row r="550" spans="1:27" ht="18" customHeight="1">
      <c r="A550" s="50"/>
      <c r="B550" s="49"/>
      <c r="C550" s="58"/>
      <c r="D550" s="59"/>
      <c r="E550" s="61"/>
      <c r="F550" s="60"/>
      <c r="G550" s="60"/>
      <c r="H550" s="49"/>
      <c r="I550" s="49"/>
      <c r="J550" s="58"/>
      <c r="K550" s="58"/>
      <c r="L550" s="59"/>
      <c r="M550" s="61"/>
      <c r="N550" s="60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</row>
    <row r="551" spans="1:27" ht="18" customHeight="1">
      <c r="A551" s="50"/>
      <c r="B551" s="49"/>
      <c r="C551" s="58"/>
      <c r="D551" s="59"/>
      <c r="E551" s="61"/>
      <c r="F551" s="60"/>
      <c r="G551" s="60"/>
      <c r="H551" s="49"/>
      <c r="I551" s="49"/>
      <c r="J551" s="58"/>
      <c r="K551" s="58"/>
      <c r="L551" s="59"/>
      <c r="M551" s="61"/>
      <c r="N551" s="60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</row>
    <row r="552" spans="1:27" ht="18" customHeight="1">
      <c r="A552" s="50"/>
      <c r="B552" s="49"/>
      <c r="C552" s="58"/>
      <c r="D552" s="59"/>
      <c r="E552" s="61"/>
      <c r="F552" s="60"/>
      <c r="G552" s="60"/>
      <c r="H552" s="49"/>
      <c r="I552" s="49"/>
      <c r="J552" s="58"/>
      <c r="K552" s="58"/>
      <c r="L552" s="59"/>
      <c r="M552" s="61"/>
      <c r="N552" s="60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</row>
    <row r="553" spans="1:27" ht="18" customHeight="1">
      <c r="A553" s="50"/>
      <c r="B553" s="49"/>
      <c r="C553" s="58"/>
      <c r="D553" s="59"/>
      <c r="E553" s="61"/>
      <c r="F553" s="60"/>
      <c r="G553" s="60"/>
      <c r="H553" s="49"/>
      <c r="I553" s="49"/>
      <c r="J553" s="58"/>
      <c r="K553" s="58"/>
      <c r="L553" s="59"/>
      <c r="M553" s="61"/>
      <c r="N553" s="60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</row>
    <row r="554" spans="1:27" ht="18" customHeight="1">
      <c r="A554" s="50"/>
      <c r="B554" s="49"/>
      <c r="C554" s="58"/>
      <c r="D554" s="59"/>
      <c r="E554" s="61"/>
      <c r="F554" s="60"/>
      <c r="G554" s="60"/>
      <c r="H554" s="49"/>
      <c r="I554" s="49"/>
      <c r="J554" s="58"/>
      <c r="K554" s="58"/>
      <c r="L554" s="59"/>
      <c r="M554" s="61"/>
      <c r="N554" s="60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</row>
    <row r="555" spans="1:27" ht="18" customHeight="1">
      <c r="A555" s="50"/>
      <c r="B555" s="49"/>
      <c r="C555" s="58"/>
      <c r="D555" s="59"/>
      <c r="E555" s="61"/>
      <c r="F555" s="60"/>
      <c r="G555" s="60"/>
      <c r="H555" s="49"/>
      <c r="I555" s="49"/>
      <c r="J555" s="58"/>
      <c r="K555" s="58"/>
      <c r="L555" s="59"/>
      <c r="M555" s="61"/>
      <c r="N555" s="60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</row>
    <row r="556" spans="1:27" ht="18" customHeight="1">
      <c r="A556" s="50"/>
      <c r="B556" s="49"/>
      <c r="C556" s="58"/>
      <c r="D556" s="59"/>
      <c r="E556" s="61"/>
      <c r="F556" s="60"/>
      <c r="G556" s="60"/>
      <c r="H556" s="49"/>
      <c r="I556" s="49"/>
      <c r="J556" s="58"/>
      <c r="K556" s="58"/>
      <c r="L556" s="59"/>
      <c r="M556" s="61"/>
      <c r="N556" s="60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</row>
    <row r="557" spans="1:27" ht="18" customHeight="1">
      <c r="A557" s="50"/>
      <c r="B557" s="49"/>
      <c r="C557" s="58"/>
      <c r="D557" s="59"/>
      <c r="E557" s="61"/>
      <c r="F557" s="60"/>
      <c r="G557" s="60"/>
      <c r="H557" s="49"/>
      <c r="I557" s="49"/>
      <c r="J557" s="58"/>
      <c r="K557" s="58"/>
      <c r="L557" s="59"/>
      <c r="M557" s="61"/>
      <c r="N557" s="60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</row>
    <row r="558" spans="1:27" ht="18" customHeight="1">
      <c r="A558" s="50"/>
      <c r="B558" s="49"/>
      <c r="C558" s="58"/>
      <c r="D558" s="59"/>
      <c r="E558" s="61"/>
      <c r="F558" s="60"/>
      <c r="G558" s="60"/>
      <c r="H558" s="49"/>
      <c r="I558" s="49"/>
      <c r="J558" s="58"/>
      <c r="K558" s="58"/>
      <c r="L558" s="59"/>
      <c r="M558" s="61"/>
      <c r="N558" s="60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</row>
    <row r="559" spans="1:27" ht="18" customHeight="1">
      <c r="A559" s="50"/>
      <c r="B559" s="49"/>
      <c r="C559" s="58"/>
      <c r="D559" s="59"/>
      <c r="E559" s="61"/>
      <c r="F559" s="60"/>
      <c r="G559" s="60"/>
      <c r="H559" s="49"/>
      <c r="I559" s="49"/>
      <c r="J559" s="58"/>
      <c r="K559" s="58"/>
      <c r="L559" s="59"/>
      <c r="M559" s="61"/>
      <c r="N559" s="60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</row>
    <row r="560" spans="1:27" ht="18" customHeight="1">
      <c r="A560" s="50"/>
      <c r="B560" s="49"/>
      <c r="C560" s="58"/>
      <c r="D560" s="59"/>
      <c r="E560" s="61"/>
      <c r="F560" s="60"/>
      <c r="G560" s="60"/>
      <c r="H560" s="49"/>
      <c r="I560" s="49"/>
      <c r="J560" s="58"/>
      <c r="K560" s="58"/>
      <c r="L560" s="59"/>
      <c r="M560" s="61"/>
      <c r="N560" s="60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</row>
    <row r="561" spans="1:27" ht="18" customHeight="1">
      <c r="A561" s="50"/>
      <c r="B561" s="49"/>
      <c r="C561" s="58"/>
      <c r="D561" s="59"/>
      <c r="E561" s="61"/>
      <c r="F561" s="60"/>
      <c r="G561" s="60"/>
      <c r="H561" s="49"/>
      <c r="I561" s="49"/>
      <c r="J561" s="58"/>
      <c r="K561" s="58"/>
      <c r="L561" s="59"/>
      <c r="M561" s="61"/>
      <c r="N561" s="60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</row>
    <row r="562" spans="1:27" ht="18" customHeight="1">
      <c r="A562" s="50"/>
      <c r="B562" s="49"/>
      <c r="C562" s="58"/>
      <c r="D562" s="59"/>
      <c r="E562" s="61"/>
      <c r="F562" s="60"/>
      <c r="G562" s="60"/>
      <c r="H562" s="49"/>
      <c r="I562" s="49"/>
      <c r="J562" s="58"/>
      <c r="K562" s="58"/>
      <c r="L562" s="59"/>
      <c r="M562" s="61"/>
      <c r="N562" s="60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</row>
    <row r="563" spans="1:27" ht="18" customHeight="1">
      <c r="A563" s="50"/>
      <c r="B563" s="49"/>
      <c r="C563" s="58"/>
      <c r="D563" s="59"/>
      <c r="E563" s="61"/>
      <c r="F563" s="60"/>
      <c r="G563" s="60"/>
      <c r="H563" s="49"/>
      <c r="I563" s="49"/>
      <c r="J563" s="58"/>
      <c r="K563" s="58"/>
      <c r="L563" s="59"/>
      <c r="M563" s="61"/>
      <c r="N563" s="60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</row>
    <row r="564" spans="1:27" ht="18" customHeight="1">
      <c r="A564" s="50"/>
      <c r="B564" s="49"/>
      <c r="C564" s="58"/>
      <c r="D564" s="59"/>
      <c r="E564" s="61"/>
      <c r="F564" s="60"/>
      <c r="G564" s="60"/>
      <c r="H564" s="49"/>
      <c r="I564" s="49"/>
      <c r="J564" s="58"/>
      <c r="K564" s="58"/>
      <c r="L564" s="59"/>
      <c r="M564" s="61"/>
      <c r="N564" s="60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</row>
    <row r="565" spans="1:27" ht="18" customHeight="1">
      <c r="A565" s="50"/>
      <c r="B565" s="49"/>
      <c r="C565" s="58"/>
      <c r="D565" s="59"/>
      <c r="E565" s="61"/>
      <c r="F565" s="60"/>
      <c r="G565" s="60"/>
      <c r="H565" s="49"/>
      <c r="I565" s="49"/>
      <c r="J565" s="58"/>
      <c r="K565" s="58"/>
      <c r="L565" s="59"/>
      <c r="M565" s="61"/>
      <c r="N565" s="60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</row>
    <row r="566" spans="1:27" ht="18" customHeight="1">
      <c r="A566" s="50"/>
      <c r="B566" s="49"/>
      <c r="C566" s="58"/>
      <c r="D566" s="59"/>
      <c r="E566" s="61"/>
      <c r="F566" s="60"/>
      <c r="G566" s="60"/>
      <c r="H566" s="49"/>
      <c r="I566" s="49"/>
      <c r="J566" s="58"/>
      <c r="K566" s="58"/>
      <c r="L566" s="59"/>
      <c r="M566" s="61"/>
      <c r="N566" s="60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</row>
    <row r="567" spans="1:27" ht="18" customHeight="1">
      <c r="A567" s="50"/>
      <c r="B567" s="49"/>
      <c r="C567" s="58"/>
      <c r="D567" s="59"/>
      <c r="E567" s="61"/>
      <c r="F567" s="60"/>
      <c r="G567" s="60"/>
      <c r="H567" s="49"/>
      <c r="I567" s="49"/>
      <c r="J567" s="58"/>
      <c r="K567" s="58"/>
      <c r="L567" s="59"/>
      <c r="M567" s="61"/>
      <c r="N567" s="60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</row>
    <row r="568" spans="1:27" ht="18" customHeight="1">
      <c r="A568" s="50"/>
      <c r="B568" s="49"/>
      <c r="C568" s="58"/>
      <c r="D568" s="59"/>
      <c r="E568" s="61"/>
      <c r="F568" s="60"/>
      <c r="G568" s="60"/>
      <c r="H568" s="49"/>
      <c r="I568" s="49"/>
      <c r="J568" s="58"/>
      <c r="K568" s="58"/>
      <c r="L568" s="59"/>
      <c r="M568" s="61"/>
      <c r="N568" s="60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</row>
    <row r="569" spans="1:27" ht="18" customHeight="1">
      <c r="A569" s="50"/>
      <c r="B569" s="49"/>
      <c r="C569" s="58"/>
      <c r="D569" s="59"/>
      <c r="E569" s="61"/>
      <c r="F569" s="60"/>
      <c r="G569" s="60"/>
      <c r="H569" s="49"/>
      <c r="I569" s="49"/>
      <c r="J569" s="58"/>
      <c r="K569" s="58"/>
      <c r="L569" s="59"/>
      <c r="M569" s="61"/>
      <c r="N569" s="60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</row>
    <row r="570" spans="1:27" ht="18" customHeight="1">
      <c r="A570" s="50"/>
      <c r="B570" s="49"/>
      <c r="C570" s="58"/>
      <c r="D570" s="59"/>
      <c r="E570" s="61"/>
      <c r="F570" s="60"/>
      <c r="G570" s="60"/>
      <c r="H570" s="49"/>
      <c r="I570" s="49"/>
      <c r="J570" s="58"/>
      <c r="K570" s="58"/>
      <c r="L570" s="59"/>
      <c r="M570" s="61"/>
      <c r="N570" s="60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</row>
    <row r="571" spans="1:27" ht="18" customHeight="1">
      <c r="A571" s="50"/>
      <c r="B571" s="49"/>
      <c r="C571" s="58"/>
      <c r="D571" s="59"/>
      <c r="E571" s="61"/>
      <c r="F571" s="60"/>
      <c r="G571" s="60"/>
      <c r="H571" s="49"/>
      <c r="I571" s="49"/>
      <c r="J571" s="58"/>
      <c r="K571" s="58"/>
      <c r="L571" s="59"/>
      <c r="M571" s="61"/>
      <c r="N571" s="60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</row>
    <row r="572" spans="1:27" ht="18" customHeight="1">
      <c r="A572" s="50"/>
      <c r="B572" s="49"/>
      <c r="C572" s="58"/>
      <c r="D572" s="59"/>
      <c r="E572" s="61"/>
      <c r="F572" s="60"/>
      <c r="G572" s="60"/>
      <c r="H572" s="49"/>
      <c r="I572" s="49"/>
      <c r="J572" s="58"/>
      <c r="K572" s="58"/>
      <c r="L572" s="59"/>
      <c r="M572" s="61"/>
      <c r="N572" s="60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</row>
    <row r="573" spans="1:27" ht="18" customHeight="1">
      <c r="A573" s="50"/>
      <c r="B573" s="49"/>
      <c r="C573" s="58"/>
      <c r="D573" s="59"/>
      <c r="E573" s="61"/>
      <c r="F573" s="60"/>
      <c r="G573" s="60"/>
      <c r="H573" s="49"/>
      <c r="I573" s="49"/>
      <c r="J573" s="58"/>
      <c r="K573" s="58"/>
      <c r="L573" s="59"/>
      <c r="M573" s="61"/>
      <c r="N573" s="60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</row>
    <row r="574" spans="1:27" ht="18" customHeight="1">
      <c r="A574" s="50"/>
      <c r="B574" s="49"/>
      <c r="C574" s="58"/>
      <c r="D574" s="59"/>
      <c r="E574" s="61"/>
      <c r="F574" s="60"/>
      <c r="G574" s="60"/>
      <c r="H574" s="49"/>
      <c r="I574" s="49"/>
      <c r="J574" s="58"/>
      <c r="K574" s="58"/>
      <c r="L574" s="59"/>
      <c r="M574" s="61"/>
      <c r="N574" s="60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</row>
    <row r="575" spans="1:27" ht="18" customHeight="1">
      <c r="A575" s="50"/>
      <c r="B575" s="49"/>
      <c r="C575" s="58"/>
      <c r="D575" s="59"/>
      <c r="E575" s="61"/>
      <c r="F575" s="60"/>
      <c r="G575" s="60"/>
      <c r="H575" s="49"/>
      <c r="I575" s="49"/>
      <c r="J575" s="58"/>
      <c r="K575" s="58"/>
      <c r="L575" s="59"/>
      <c r="M575" s="61"/>
      <c r="N575" s="60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</row>
    <row r="576" spans="1:27" ht="18" customHeight="1">
      <c r="A576" s="50"/>
      <c r="B576" s="49"/>
      <c r="C576" s="58"/>
      <c r="D576" s="59"/>
      <c r="E576" s="61"/>
      <c r="F576" s="60"/>
      <c r="G576" s="60"/>
      <c r="H576" s="49"/>
      <c r="I576" s="49"/>
      <c r="J576" s="58"/>
      <c r="K576" s="58"/>
      <c r="L576" s="59"/>
      <c r="M576" s="61"/>
      <c r="N576" s="60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</row>
    <row r="577" spans="1:27" ht="18" customHeight="1">
      <c r="A577" s="50"/>
      <c r="B577" s="49"/>
      <c r="C577" s="58"/>
      <c r="D577" s="59"/>
      <c r="E577" s="61"/>
      <c r="F577" s="60"/>
      <c r="G577" s="60"/>
      <c r="H577" s="49"/>
      <c r="I577" s="49"/>
      <c r="J577" s="58"/>
      <c r="K577" s="58"/>
      <c r="L577" s="59"/>
      <c r="M577" s="61"/>
      <c r="N577" s="60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</row>
    <row r="578" spans="1:27" ht="18" customHeight="1">
      <c r="A578" s="50"/>
      <c r="B578" s="49"/>
      <c r="C578" s="58"/>
      <c r="D578" s="59"/>
      <c r="E578" s="61"/>
      <c r="F578" s="60"/>
      <c r="G578" s="60"/>
      <c r="H578" s="49"/>
      <c r="I578" s="49"/>
      <c r="J578" s="58"/>
      <c r="K578" s="58"/>
      <c r="L578" s="59"/>
      <c r="M578" s="61"/>
      <c r="N578" s="60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</row>
    <row r="579" spans="1:27" ht="18" customHeight="1">
      <c r="A579" s="50"/>
      <c r="B579" s="49"/>
      <c r="C579" s="58"/>
      <c r="D579" s="59"/>
      <c r="E579" s="61"/>
      <c r="F579" s="60"/>
      <c r="G579" s="60"/>
      <c r="H579" s="49"/>
      <c r="I579" s="49"/>
      <c r="J579" s="58"/>
      <c r="K579" s="58"/>
      <c r="L579" s="59"/>
      <c r="M579" s="61"/>
      <c r="N579" s="60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</row>
    <row r="580" spans="1:27" ht="18" customHeight="1">
      <c r="A580" s="50"/>
      <c r="B580" s="49"/>
      <c r="C580" s="58"/>
      <c r="D580" s="59"/>
      <c r="E580" s="61"/>
      <c r="F580" s="60"/>
      <c r="G580" s="60"/>
      <c r="H580" s="49"/>
      <c r="I580" s="49"/>
      <c r="J580" s="58"/>
      <c r="K580" s="58"/>
      <c r="L580" s="59"/>
      <c r="M580" s="61"/>
      <c r="N580" s="60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</row>
    <row r="581" spans="1:27" ht="18" customHeight="1">
      <c r="A581" s="50"/>
      <c r="B581" s="49"/>
      <c r="C581" s="58"/>
      <c r="D581" s="59"/>
      <c r="E581" s="61"/>
      <c r="F581" s="60"/>
      <c r="G581" s="60"/>
      <c r="H581" s="49"/>
      <c r="I581" s="49"/>
      <c r="J581" s="58"/>
      <c r="K581" s="58"/>
      <c r="L581" s="59"/>
      <c r="M581" s="61"/>
      <c r="N581" s="60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</row>
    <row r="582" spans="1:27" ht="18" customHeight="1">
      <c r="A582" s="50"/>
      <c r="B582" s="49"/>
      <c r="C582" s="58"/>
      <c r="D582" s="59"/>
      <c r="E582" s="61"/>
      <c r="F582" s="60"/>
      <c r="G582" s="60"/>
      <c r="H582" s="49"/>
      <c r="I582" s="49"/>
      <c r="J582" s="58"/>
      <c r="K582" s="58"/>
      <c r="L582" s="59"/>
      <c r="M582" s="61"/>
      <c r="N582" s="60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</row>
    <row r="583" spans="1:27" ht="18" customHeight="1">
      <c r="A583" s="50"/>
      <c r="B583" s="49"/>
      <c r="C583" s="58"/>
      <c r="D583" s="59"/>
      <c r="E583" s="61"/>
      <c r="F583" s="60"/>
      <c r="G583" s="60"/>
      <c r="H583" s="49"/>
      <c r="I583" s="49"/>
      <c r="J583" s="58"/>
      <c r="K583" s="58"/>
      <c r="L583" s="59"/>
      <c r="M583" s="61"/>
      <c r="N583" s="60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</row>
    <row r="584" spans="1:27" ht="18" customHeight="1">
      <c r="A584" s="50"/>
      <c r="B584" s="49"/>
      <c r="C584" s="58"/>
      <c r="D584" s="59"/>
      <c r="E584" s="61"/>
      <c r="F584" s="60"/>
      <c r="G584" s="60"/>
      <c r="H584" s="49"/>
      <c r="I584" s="49"/>
      <c r="J584" s="58"/>
      <c r="K584" s="58"/>
      <c r="L584" s="59"/>
      <c r="M584" s="61"/>
      <c r="N584" s="60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</row>
    <row r="585" spans="1:27" ht="18" customHeight="1">
      <c r="A585" s="50"/>
      <c r="B585" s="49"/>
      <c r="C585" s="58"/>
      <c r="D585" s="59"/>
      <c r="E585" s="61"/>
      <c r="F585" s="60"/>
      <c r="G585" s="60"/>
      <c r="H585" s="49"/>
      <c r="I585" s="49"/>
      <c r="J585" s="58"/>
      <c r="K585" s="58"/>
      <c r="L585" s="59"/>
      <c r="M585" s="61"/>
      <c r="N585" s="60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</row>
    <row r="586" spans="1:27" ht="18" customHeight="1">
      <c r="A586" s="50"/>
      <c r="B586" s="49"/>
      <c r="C586" s="58"/>
      <c r="D586" s="59"/>
      <c r="E586" s="61"/>
      <c r="F586" s="60"/>
      <c r="G586" s="60"/>
      <c r="H586" s="49"/>
      <c r="I586" s="49"/>
      <c r="J586" s="58"/>
      <c r="K586" s="58"/>
      <c r="L586" s="59"/>
      <c r="M586" s="61"/>
      <c r="N586" s="60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</row>
    <row r="587" spans="1:27" ht="18" customHeight="1">
      <c r="A587" s="50"/>
      <c r="B587" s="49"/>
      <c r="C587" s="58"/>
      <c r="D587" s="59"/>
      <c r="E587" s="61"/>
      <c r="F587" s="60"/>
      <c r="G587" s="60"/>
      <c r="H587" s="49"/>
      <c r="I587" s="49"/>
      <c r="J587" s="58"/>
      <c r="K587" s="58"/>
      <c r="L587" s="59"/>
      <c r="M587" s="61"/>
      <c r="N587" s="60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</row>
    <row r="588" spans="1:27" ht="18" customHeight="1">
      <c r="A588" s="50"/>
      <c r="B588" s="49"/>
      <c r="C588" s="58"/>
      <c r="D588" s="59"/>
      <c r="E588" s="61"/>
      <c r="F588" s="60"/>
      <c r="G588" s="60"/>
      <c r="H588" s="49"/>
      <c r="I588" s="49"/>
      <c r="J588" s="58"/>
      <c r="K588" s="58"/>
      <c r="L588" s="59"/>
      <c r="M588" s="61"/>
      <c r="N588" s="60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</row>
    <row r="589" spans="1:27" ht="18" customHeight="1">
      <c r="A589" s="50"/>
      <c r="B589" s="49"/>
      <c r="C589" s="58"/>
      <c r="D589" s="59"/>
      <c r="E589" s="61"/>
      <c r="F589" s="60"/>
      <c r="G589" s="60"/>
      <c r="H589" s="49"/>
      <c r="I589" s="49"/>
      <c r="J589" s="58"/>
      <c r="K589" s="58"/>
      <c r="L589" s="59"/>
      <c r="M589" s="61"/>
      <c r="N589" s="60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</row>
    <row r="590" spans="1:27" ht="18" customHeight="1">
      <c r="A590" s="50"/>
      <c r="B590" s="49"/>
      <c r="C590" s="58"/>
      <c r="D590" s="59"/>
      <c r="E590" s="61"/>
      <c r="F590" s="60"/>
      <c r="G590" s="60"/>
      <c r="H590" s="49"/>
      <c r="I590" s="49"/>
      <c r="J590" s="58"/>
      <c r="K590" s="58"/>
      <c r="L590" s="59"/>
      <c r="M590" s="61"/>
      <c r="N590" s="60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</row>
    <row r="591" spans="1:27" ht="18" customHeight="1">
      <c r="A591" s="50"/>
      <c r="B591" s="49"/>
      <c r="C591" s="58"/>
      <c r="D591" s="59"/>
      <c r="E591" s="61"/>
      <c r="F591" s="60"/>
      <c r="G591" s="60"/>
      <c r="H591" s="49"/>
      <c r="I591" s="49"/>
      <c r="J591" s="58"/>
      <c r="K591" s="58"/>
      <c r="L591" s="59"/>
      <c r="M591" s="61"/>
      <c r="N591" s="60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</row>
    <row r="592" spans="1:27" ht="18" customHeight="1">
      <c r="A592" s="50"/>
      <c r="B592" s="49"/>
      <c r="C592" s="58"/>
      <c r="D592" s="59"/>
      <c r="E592" s="61"/>
      <c r="F592" s="60"/>
      <c r="G592" s="60"/>
      <c r="H592" s="49"/>
      <c r="I592" s="49"/>
      <c r="J592" s="58"/>
      <c r="K592" s="58"/>
      <c r="L592" s="59"/>
      <c r="M592" s="61"/>
      <c r="N592" s="60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</row>
    <row r="593" spans="1:27" ht="18" customHeight="1">
      <c r="A593" s="50"/>
      <c r="B593" s="49"/>
      <c r="C593" s="58"/>
      <c r="D593" s="59"/>
      <c r="E593" s="61"/>
      <c r="F593" s="60"/>
      <c r="G593" s="60"/>
      <c r="H593" s="49"/>
      <c r="I593" s="49"/>
      <c r="J593" s="58"/>
      <c r="K593" s="58"/>
      <c r="L593" s="59"/>
      <c r="M593" s="61"/>
      <c r="N593" s="60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</row>
    <row r="594" spans="1:27" ht="18" customHeight="1">
      <c r="A594" s="50"/>
      <c r="B594" s="49"/>
      <c r="C594" s="58"/>
      <c r="D594" s="59"/>
      <c r="E594" s="61"/>
      <c r="F594" s="60"/>
      <c r="G594" s="60"/>
      <c r="H594" s="49"/>
      <c r="I594" s="49"/>
      <c r="J594" s="58"/>
      <c r="K594" s="58"/>
      <c r="L594" s="59"/>
      <c r="M594" s="61"/>
      <c r="N594" s="60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</row>
    <row r="595" spans="1:27" ht="18" customHeight="1">
      <c r="A595" s="50"/>
      <c r="B595" s="49"/>
      <c r="C595" s="58"/>
      <c r="D595" s="59"/>
      <c r="E595" s="61"/>
      <c r="F595" s="60"/>
      <c r="G595" s="60"/>
      <c r="H595" s="49"/>
      <c r="I595" s="49"/>
      <c r="J595" s="58"/>
      <c r="K595" s="58"/>
      <c r="L595" s="59"/>
      <c r="M595" s="61"/>
      <c r="N595" s="60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</row>
    <row r="596" spans="1:27" ht="18" customHeight="1">
      <c r="A596" s="50"/>
      <c r="B596" s="49"/>
      <c r="C596" s="58"/>
      <c r="D596" s="59"/>
      <c r="E596" s="61"/>
      <c r="F596" s="60"/>
      <c r="G596" s="60"/>
      <c r="H596" s="49"/>
      <c r="I596" s="49"/>
      <c r="J596" s="58"/>
      <c r="K596" s="58"/>
      <c r="L596" s="59"/>
      <c r="M596" s="61"/>
      <c r="N596" s="60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</row>
    <row r="597" spans="1:27" ht="18" customHeight="1">
      <c r="A597" s="50"/>
      <c r="B597" s="49"/>
      <c r="C597" s="58"/>
      <c r="D597" s="59"/>
      <c r="E597" s="61"/>
      <c r="F597" s="60"/>
      <c r="G597" s="60"/>
      <c r="H597" s="49"/>
      <c r="I597" s="49"/>
      <c r="J597" s="58"/>
      <c r="K597" s="58"/>
      <c r="L597" s="59"/>
      <c r="M597" s="61"/>
      <c r="N597" s="60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</row>
    <row r="598" spans="1:27" ht="18" customHeight="1">
      <c r="A598" s="50"/>
      <c r="B598" s="49"/>
      <c r="C598" s="58"/>
      <c r="D598" s="59"/>
      <c r="E598" s="61"/>
      <c r="F598" s="60"/>
      <c r="G598" s="60"/>
      <c r="H598" s="49"/>
      <c r="I598" s="49"/>
      <c r="J598" s="58"/>
      <c r="K598" s="58"/>
      <c r="L598" s="59"/>
      <c r="M598" s="61"/>
      <c r="N598" s="60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</row>
    <row r="599" spans="1:27" ht="18" customHeight="1">
      <c r="A599" s="50"/>
      <c r="B599" s="49"/>
      <c r="C599" s="58"/>
      <c r="D599" s="59"/>
      <c r="E599" s="61"/>
      <c r="F599" s="60"/>
      <c r="G599" s="60"/>
      <c r="H599" s="49"/>
      <c r="I599" s="49"/>
      <c r="J599" s="58"/>
      <c r="K599" s="58"/>
      <c r="L599" s="59"/>
      <c r="M599" s="61"/>
      <c r="N599" s="60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</row>
    <row r="600" spans="1:27" ht="18" customHeight="1">
      <c r="A600" s="50"/>
      <c r="B600" s="49"/>
      <c r="C600" s="58"/>
      <c r="D600" s="59"/>
      <c r="E600" s="61"/>
      <c r="F600" s="60"/>
      <c r="G600" s="60"/>
      <c r="H600" s="49"/>
      <c r="I600" s="49"/>
      <c r="J600" s="58"/>
      <c r="K600" s="58"/>
      <c r="L600" s="59"/>
      <c r="M600" s="61"/>
      <c r="N600" s="60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</row>
    <row r="601" spans="1:27" ht="18" customHeight="1">
      <c r="A601" s="50"/>
      <c r="B601" s="49"/>
      <c r="C601" s="58"/>
      <c r="D601" s="59"/>
      <c r="E601" s="61"/>
      <c r="F601" s="60"/>
      <c r="G601" s="60"/>
      <c r="H601" s="49"/>
      <c r="I601" s="49"/>
      <c r="J601" s="58"/>
      <c r="K601" s="58"/>
      <c r="L601" s="59"/>
      <c r="M601" s="61"/>
      <c r="N601" s="60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</row>
    <row r="602" spans="1:27" ht="18" customHeight="1">
      <c r="A602" s="50"/>
      <c r="B602" s="49"/>
      <c r="C602" s="58"/>
      <c r="D602" s="59"/>
      <c r="E602" s="61"/>
      <c r="F602" s="60"/>
      <c r="G602" s="60"/>
      <c r="H602" s="49"/>
      <c r="I602" s="49"/>
      <c r="J602" s="58"/>
      <c r="K602" s="58"/>
      <c r="L602" s="59"/>
      <c r="M602" s="61"/>
      <c r="N602" s="60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</row>
    <row r="603" spans="1:27" ht="18" customHeight="1">
      <c r="A603" s="50"/>
      <c r="B603" s="49"/>
      <c r="C603" s="58"/>
      <c r="D603" s="59"/>
      <c r="E603" s="61"/>
      <c r="F603" s="60"/>
      <c r="G603" s="60"/>
      <c r="H603" s="49"/>
      <c r="I603" s="49"/>
      <c r="J603" s="58"/>
      <c r="K603" s="58"/>
      <c r="L603" s="59"/>
      <c r="M603" s="61"/>
      <c r="N603" s="60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</row>
    <row r="604" spans="1:27" ht="18" customHeight="1">
      <c r="A604" s="50"/>
      <c r="B604" s="49"/>
      <c r="C604" s="58"/>
      <c r="D604" s="59"/>
      <c r="E604" s="61"/>
      <c r="F604" s="60"/>
      <c r="G604" s="60"/>
      <c r="H604" s="49"/>
      <c r="I604" s="49"/>
      <c r="J604" s="58"/>
      <c r="K604" s="58"/>
      <c r="L604" s="59"/>
      <c r="M604" s="61"/>
      <c r="N604" s="60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</row>
    <row r="605" spans="1:27" ht="18" customHeight="1">
      <c r="A605" s="50"/>
      <c r="B605" s="49"/>
      <c r="C605" s="58"/>
      <c r="D605" s="59"/>
      <c r="E605" s="61"/>
      <c r="F605" s="60"/>
      <c r="G605" s="60"/>
      <c r="H605" s="49"/>
      <c r="I605" s="49"/>
      <c r="J605" s="58"/>
      <c r="K605" s="58"/>
      <c r="L605" s="59"/>
      <c r="M605" s="61"/>
      <c r="N605" s="60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</row>
    <row r="606" spans="1:27" ht="18" customHeight="1">
      <c r="A606" s="50"/>
      <c r="B606" s="49"/>
      <c r="C606" s="58"/>
      <c r="D606" s="59"/>
      <c r="E606" s="61"/>
      <c r="F606" s="60"/>
      <c r="G606" s="60"/>
      <c r="H606" s="49"/>
      <c r="I606" s="49"/>
      <c r="J606" s="58"/>
      <c r="K606" s="58"/>
      <c r="L606" s="59"/>
      <c r="M606" s="61"/>
      <c r="N606" s="60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</row>
    <row r="607" spans="1:27" ht="18" customHeight="1">
      <c r="A607" s="50"/>
      <c r="B607" s="49"/>
      <c r="C607" s="58"/>
      <c r="D607" s="59"/>
      <c r="E607" s="61"/>
      <c r="F607" s="60"/>
      <c r="G607" s="60"/>
      <c r="H607" s="49"/>
      <c r="I607" s="49"/>
      <c r="J607" s="58"/>
      <c r="K607" s="58"/>
      <c r="L607" s="59"/>
      <c r="M607" s="61"/>
      <c r="N607" s="60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</row>
    <row r="608" spans="1:27" ht="18" customHeight="1">
      <c r="A608" s="50"/>
      <c r="B608" s="49"/>
      <c r="C608" s="58"/>
      <c r="D608" s="59"/>
      <c r="E608" s="61"/>
      <c r="F608" s="60"/>
      <c r="G608" s="60"/>
      <c r="H608" s="49"/>
      <c r="I608" s="49"/>
      <c r="J608" s="58"/>
      <c r="K608" s="58"/>
      <c r="L608" s="59"/>
      <c r="M608" s="61"/>
      <c r="N608" s="60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</row>
    <row r="609" spans="1:27" ht="18" customHeight="1">
      <c r="A609" s="50"/>
      <c r="B609" s="49"/>
      <c r="C609" s="58"/>
      <c r="D609" s="59"/>
      <c r="E609" s="61"/>
      <c r="F609" s="60"/>
      <c r="G609" s="60"/>
      <c r="H609" s="49"/>
      <c r="I609" s="49"/>
      <c r="J609" s="58"/>
      <c r="K609" s="58"/>
      <c r="L609" s="59"/>
      <c r="M609" s="61"/>
      <c r="N609" s="60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</row>
    <row r="610" spans="1:27" ht="18" customHeight="1">
      <c r="A610" s="50"/>
      <c r="B610" s="49"/>
      <c r="C610" s="58"/>
      <c r="D610" s="59"/>
      <c r="E610" s="61"/>
      <c r="F610" s="60"/>
      <c r="G610" s="60"/>
      <c r="H610" s="49"/>
      <c r="I610" s="49"/>
      <c r="J610" s="58"/>
      <c r="K610" s="58"/>
      <c r="L610" s="59"/>
      <c r="M610" s="61"/>
      <c r="N610" s="60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</row>
    <row r="611" spans="1:27" ht="18" customHeight="1">
      <c r="A611" s="50"/>
      <c r="B611" s="49"/>
      <c r="C611" s="58"/>
      <c r="D611" s="59"/>
      <c r="E611" s="61"/>
      <c r="F611" s="60"/>
      <c r="G611" s="60"/>
      <c r="H611" s="49"/>
      <c r="I611" s="49"/>
      <c r="J611" s="58"/>
      <c r="K611" s="58"/>
      <c r="L611" s="59"/>
      <c r="M611" s="61"/>
      <c r="N611" s="60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</row>
    <row r="612" spans="1:27" ht="18" customHeight="1">
      <c r="A612" s="50"/>
      <c r="B612" s="49"/>
      <c r="C612" s="58"/>
      <c r="D612" s="59"/>
      <c r="E612" s="61"/>
      <c r="F612" s="60"/>
      <c r="G612" s="60"/>
      <c r="H612" s="49"/>
      <c r="I612" s="49"/>
      <c r="J612" s="58"/>
      <c r="K612" s="58"/>
      <c r="L612" s="59"/>
      <c r="M612" s="61"/>
      <c r="N612" s="60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</row>
    <row r="613" spans="1:27" ht="18" customHeight="1">
      <c r="A613" s="50"/>
      <c r="B613" s="49"/>
      <c r="C613" s="58"/>
      <c r="D613" s="59"/>
      <c r="E613" s="61"/>
      <c r="F613" s="60"/>
      <c r="G613" s="60"/>
      <c r="H613" s="49"/>
      <c r="I613" s="49"/>
      <c r="J613" s="58"/>
      <c r="K613" s="58"/>
      <c r="L613" s="59"/>
      <c r="M613" s="61"/>
      <c r="N613" s="60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</row>
    <row r="614" spans="1:27" ht="18" customHeight="1">
      <c r="A614" s="50"/>
      <c r="B614" s="49"/>
      <c r="C614" s="58"/>
      <c r="D614" s="59"/>
      <c r="E614" s="61"/>
      <c r="F614" s="60"/>
      <c r="G614" s="60"/>
      <c r="H614" s="49"/>
      <c r="I614" s="49"/>
      <c r="J614" s="58"/>
      <c r="K614" s="58"/>
      <c r="L614" s="59"/>
      <c r="M614" s="61"/>
      <c r="N614" s="60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</row>
    <row r="615" spans="1:27" ht="18" customHeight="1">
      <c r="A615" s="50"/>
      <c r="B615" s="49"/>
      <c r="C615" s="58"/>
      <c r="D615" s="59"/>
      <c r="E615" s="61"/>
      <c r="F615" s="60"/>
      <c r="G615" s="60"/>
      <c r="H615" s="49"/>
      <c r="I615" s="49"/>
      <c r="J615" s="58"/>
      <c r="K615" s="58"/>
      <c r="L615" s="59"/>
      <c r="M615" s="61"/>
      <c r="N615" s="60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</row>
    <row r="616" spans="1:27" ht="18" customHeight="1">
      <c r="A616" s="50"/>
      <c r="B616" s="49"/>
      <c r="C616" s="58"/>
      <c r="D616" s="59"/>
      <c r="E616" s="61"/>
      <c r="F616" s="60"/>
      <c r="G616" s="60"/>
      <c r="H616" s="49"/>
      <c r="I616" s="49"/>
      <c r="J616" s="58"/>
      <c r="K616" s="58"/>
      <c r="L616" s="59"/>
      <c r="M616" s="61"/>
      <c r="N616" s="60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</row>
    <row r="617" spans="1:27" ht="18" customHeight="1">
      <c r="A617" s="50"/>
      <c r="B617" s="49"/>
      <c r="C617" s="58"/>
      <c r="D617" s="59"/>
      <c r="E617" s="61"/>
      <c r="F617" s="60"/>
      <c r="G617" s="60"/>
      <c r="H617" s="49"/>
      <c r="I617" s="49"/>
      <c r="J617" s="58"/>
      <c r="K617" s="58"/>
      <c r="L617" s="59"/>
      <c r="M617" s="61"/>
      <c r="N617" s="60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</row>
    <row r="618" spans="1:27" ht="18" customHeight="1">
      <c r="A618" s="50"/>
      <c r="B618" s="49"/>
      <c r="C618" s="58"/>
      <c r="D618" s="59"/>
      <c r="E618" s="61"/>
      <c r="F618" s="60"/>
      <c r="G618" s="60"/>
      <c r="H618" s="49"/>
      <c r="I618" s="49"/>
      <c r="J618" s="58"/>
      <c r="K618" s="58"/>
      <c r="L618" s="59"/>
      <c r="M618" s="61"/>
      <c r="N618" s="60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</row>
    <row r="619" spans="1:27" ht="18" customHeight="1">
      <c r="A619" s="50"/>
      <c r="B619" s="49"/>
      <c r="C619" s="58"/>
      <c r="D619" s="59"/>
      <c r="E619" s="61"/>
      <c r="F619" s="60"/>
      <c r="G619" s="60"/>
      <c r="H619" s="49"/>
      <c r="I619" s="49"/>
      <c r="J619" s="58"/>
      <c r="K619" s="58"/>
      <c r="L619" s="59"/>
      <c r="M619" s="61"/>
      <c r="N619" s="60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</row>
    <row r="620" spans="1:27" ht="18" customHeight="1">
      <c r="A620" s="50"/>
      <c r="B620" s="49"/>
      <c r="C620" s="58"/>
      <c r="D620" s="59"/>
      <c r="E620" s="61"/>
      <c r="F620" s="60"/>
      <c r="G620" s="60"/>
      <c r="H620" s="49"/>
      <c r="I620" s="49"/>
      <c r="J620" s="58"/>
      <c r="K620" s="58"/>
      <c r="L620" s="59"/>
      <c r="M620" s="61"/>
      <c r="N620" s="60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</row>
    <row r="621" spans="1:27" ht="18" customHeight="1">
      <c r="A621" s="50"/>
      <c r="B621" s="49"/>
      <c r="C621" s="58"/>
      <c r="D621" s="59"/>
      <c r="E621" s="61"/>
      <c r="F621" s="60"/>
      <c r="G621" s="60"/>
      <c r="H621" s="49"/>
      <c r="I621" s="49"/>
      <c r="J621" s="58"/>
      <c r="K621" s="58"/>
      <c r="L621" s="59"/>
      <c r="M621" s="61"/>
      <c r="N621" s="60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</row>
    <row r="622" spans="1:27" ht="18" customHeight="1">
      <c r="A622" s="50"/>
      <c r="B622" s="49"/>
      <c r="C622" s="58"/>
      <c r="D622" s="59"/>
      <c r="E622" s="61"/>
      <c r="F622" s="60"/>
      <c r="G622" s="60"/>
      <c r="H622" s="49"/>
      <c r="I622" s="49"/>
      <c r="J622" s="58"/>
      <c r="K622" s="58"/>
      <c r="L622" s="59"/>
      <c r="M622" s="61"/>
      <c r="N622" s="60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</row>
    <row r="623" spans="1:27" ht="18" customHeight="1">
      <c r="A623" s="50"/>
      <c r="B623" s="49"/>
      <c r="C623" s="58"/>
      <c r="D623" s="59"/>
      <c r="E623" s="61"/>
      <c r="F623" s="60"/>
      <c r="G623" s="60"/>
      <c r="H623" s="49"/>
      <c r="I623" s="49"/>
      <c r="J623" s="58"/>
      <c r="K623" s="58"/>
      <c r="L623" s="59"/>
      <c r="M623" s="61"/>
      <c r="N623" s="60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</row>
    <row r="624" spans="1:27" ht="18" customHeight="1">
      <c r="A624" s="50"/>
      <c r="B624" s="49"/>
      <c r="C624" s="58"/>
      <c r="D624" s="59"/>
      <c r="E624" s="61"/>
      <c r="F624" s="60"/>
      <c r="G624" s="60"/>
      <c r="H624" s="49"/>
      <c r="I624" s="49"/>
      <c r="J624" s="58"/>
      <c r="K624" s="58"/>
      <c r="L624" s="59"/>
      <c r="M624" s="61"/>
      <c r="N624" s="60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</row>
    <row r="625" spans="1:27" ht="18" customHeight="1">
      <c r="A625" s="50"/>
      <c r="B625" s="49"/>
      <c r="C625" s="58"/>
      <c r="D625" s="59"/>
      <c r="E625" s="61"/>
      <c r="F625" s="60"/>
      <c r="G625" s="60"/>
      <c r="H625" s="49"/>
      <c r="I625" s="49"/>
      <c r="J625" s="58"/>
      <c r="K625" s="58"/>
      <c r="L625" s="59"/>
      <c r="M625" s="61"/>
      <c r="N625" s="60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</row>
    <row r="626" spans="1:27" ht="18" customHeight="1">
      <c r="A626" s="50"/>
      <c r="B626" s="49"/>
      <c r="C626" s="58"/>
      <c r="D626" s="59"/>
      <c r="E626" s="61"/>
      <c r="F626" s="60"/>
      <c r="G626" s="60"/>
      <c r="H626" s="49"/>
      <c r="I626" s="49"/>
      <c r="J626" s="58"/>
      <c r="K626" s="58"/>
      <c r="L626" s="59"/>
      <c r="M626" s="61"/>
      <c r="N626" s="60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</row>
    <row r="627" spans="1:27" ht="18" customHeight="1">
      <c r="A627" s="50"/>
      <c r="B627" s="49"/>
      <c r="C627" s="58"/>
      <c r="D627" s="59"/>
      <c r="E627" s="61"/>
      <c r="F627" s="60"/>
      <c r="G627" s="60"/>
      <c r="H627" s="49"/>
      <c r="I627" s="49"/>
      <c r="J627" s="58"/>
      <c r="K627" s="58"/>
      <c r="L627" s="59"/>
      <c r="M627" s="61"/>
      <c r="N627" s="60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</row>
    <row r="628" spans="1:27" ht="18" customHeight="1">
      <c r="A628" s="50"/>
      <c r="B628" s="49"/>
      <c r="C628" s="58"/>
      <c r="D628" s="59"/>
      <c r="E628" s="61"/>
      <c r="F628" s="60"/>
      <c r="G628" s="60"/>
      <c r="H628" s="49"/>
      <c r="I628" s="49"/>
      <c r="J628" s="58"/>
      <c r="K628" s="58"/>
      <c r="L628" s="59"/>
      <c r="M628" s="61"/>
      <c r="N628" s="60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</row>
    <row r="629" spans="1:27" ht="18" customHeight="1">
      <c r="A629" s="50"/>
      <c r="B629" s="49"/>
      <c r="C629" s="58"/>
      <c r="D629" s="59"/>
      <c r="E629" s="61"/>
      <c r="F629" s="60"/>
      <c r="G629" s="60"/>
      <c r="H629" s="49"/>
      <c r="I629" s="49"/>
      <c r="J629" s="58"/>
      <c r="K629" s="58"/>
      <c r="L629" s="59"/>
      <c r="M629" s="61"/>
      <c r="N629" s="60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</row>
    <row r="630" spans="1:27" ht="18" customHeight="1">
      <c r="A630" s="50"/>
      <c r="B630" s="49"/>
      <c r="C630" s="58"/>
      <c r="D630" s="59"/>
      <c r="E630" s="61"/>
      <c r="F630" s="60"/>
      <c r="G630" s="60"/>
      <c r="H630" s="49"/>
      <c r="I630" s="49"/>
      <c r="J630" s="58"/>
      <c r="K630" s="58"/>
      <c r="L630" s="59"/>
      <c r="M630" s="61"/>
      <c r="N630" s="60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</row>
    <row r="631" spans="1:27" ht="18" customHeight="1">
      <c r="A631" s="50"/>
      <c r="B631" s="49"/>
      <c r="C631" s="58"/>
      <c r="D631" s="59"/>
      <c r="E631" s="61"/>
      <c r="F631" s="60"/>
      <c r="G631" s="60"/>
      <c r="H631" s="49"/>
      <c r="I631" s="49"/>
      <c r="J631" s="58"/>
      <c r="K631" s="58"/>
      <c r="L631" s="59"/>
      <c r="M631" s="61"/>
      <c r="N631" s="60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</row>
    <row r="632" spans="1:27" ht="18" customHeight="1">
      <c r="A632" s="50"/>
      <c r="B632" s="49"/>
      <c r="C632" s="58"/>
      <c r="D632" s="59"/>
      <c r="E632" s="61"/>
      <c r="F632" s="60"/>
      <c r="G632" s="60"/>
      <c r="H632" s="49"/>
      <c r="I632" s="49"/>
      <c r="J632" s="58"/>
      <c r="K632" s="58"/>
      <c r="L632" s="59"/>
      <c r="M632" s="61"/>
      <c r="N632" s="60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</row>
    <row r="633" spans="1:27" ht="18" customHeight="1">
      <c r="A633" s="50"/>
      <c r="B633" s="49"/>
      <c r="C633" s="58"/>
      <c r="D633" s="59"/>
      <c r="E633" s="61"/>
      <c r="F633" s="60"/>
      <c r="G633" s="60"/>
      <c r="H633" s="49"/>
      <c r="I633" s="49"/>
      <c r="J633" s="58"/>
      <c r="K633" s="58"/>
      <c r="L633" s="59"/>
      <c r="M633" s="61"/>
      <c r="N633" s="60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</row>
    <row r="634" spans="1:27" ht="18" customHeight="1">
      <c r="A634" s="50"/>
      <c r="B634" s="49"/>
      <c r="C634" s="58"/>
      <c r="D634" s="59"/>
      <c r="E634" s="61"/>
      <c r="F634" s="60"/>
      <c r="G634" s="60"/>
      <c r="H634" s="49"/>
      <c r="I634" s="49"/>
      <c r="J634" s="58"/>
      <c r="K634" s="58"/>
      <c r="L634" s="59"/>
      <c r="M634" s="61"/>
      <c r="N634" s="60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</row>
    <row r="635" spans="1:27" ht="18" customHeight="1">
      <c r="A635" s="50"/>
      <c r="B635" s="49"/>
      <c r="C635" s="58"/>
      <c r="D635" s="59"/>
      <c r="E635" s="61"/>
      <c r="F635" s="60"/>
      <c r="G635" s="60"/>
      <c r="H635" s="49"/>
      <c r="I635" s="49"/>
      <c r="J635" s="58"/>
      <c r="K635" s="58"/>
      <c r="L635" s="59"/>
      <c r="M635" s="61"/>
      <c r="N635" s="60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</row>
    <row r="636" spans="1:27" ht="18" customHeight="1">
      <c r="A636" s="50"/>
      <c r="B636" s="49"/>
      <c r="C636" s="58"/>
      <c r="D636" s="59"/>
      <c r="E636" s="61"/>
      <c r="F636" s="60"/>
      <c r="G636" s="60"/>
      <c r="H636" s="49"/>
      <c r="I636" s="49"/>
      <c r="J636" s="58"/>
      <c r="K636" s="58"/>
      <c r="L636" s="59"/>
      <c r="M636" s="61"/>
      <c r="N636" s="60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</row>
    <row r="637" spans="1:27" ht="18" customHeight="1">
      <c r="A637" s="50"/>
      <c r="B637" s="49"/>
      <c r="C637" s="58"/>
      <c r="D637" s="59"/>
      <c r="E637" s="61"/>
      <c r="F637" s="60"/>
      <c r="G637" s="60"/>
      <c r="H637" s="49"/>
      <c r="I637" s="49"/>
      <c r="J637" s="58"/>
      <c r="K637" s="58"/>
      <c r="L637" s="59"/>
      <c r="M637" s="61"/>
      <c r="N637" s="60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</row>
    <row r="638" spans="1:27" ht="18" customHeight="1">
      <c r="A638" s="50"/>
      <c r="B638" s="49"/>
      <c r="C638" s="58"/>
      <c r="D638" s="59"/>
      <c r="E638" s="61"/>
      <c r="F638" s="60"/>
      <c r="G638" s="60"/>
      <c r="H638" s="49"/>
      <c r="I638" s="49"/>
      <c r="J638" s="58"/>
      <c r="K638" s="58"/>
      <c r="L638" s="59"/>
      <c r="M638" s="61"/>
      <c r="N638" s="60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</row>
    <row r="639" spans="1:27" ht="18" customHeight="1">
      <c r="A639" s="50"/>
      <c r="B639" s="49"/>
      <c r="C639" s="58"/>
      <c r="D639" s="59"/>
      <c r="E639" s="61"/>
      <c r="F639" s="60"/>
      <c r="G639" s="60"/>
      <c r="H639" s="49"/>
      <c r="I639" s="49"/>
      <c r="J639" s="58"/>
      <c r="K639" s="58"/>
      <c r="L639" s="59"/>
      <c r="M639" s="61"/>
      <c r="N639" s="60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</row>
    <row r="640" spans="1:27" ht="18" customHeight="1">
      <c r="A640" s="50"/>
      <c r="B640" s="49"/>
      <c r="C640" s="58"/>
      <c r="D640" s="59"/>
      <c r="E640" s="61"/>
      <c r="F640" s="60"/>
      <c r="G640" s="60"/>
      <c r="H640" s="49"/>
      <c r="I640" s="49"/>
      <c r="J640" s="58"/>
      <c r="K640" s="58"/>
      <c r="L640" s="59"/>
      <c r="M640" s="61"/>
      <c r="N640" s="60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</row>
    <row r="641" spans="1:27" ht="18" customHeight="1">
      <c r="A641" s="50"/>
      <c r="B641" s="49"/>
      <c r="C641" s="58"/>
      <c r="D641" s="59"/>
      <c r="E641" s="61"/>
      <c r="F641" s="60"/>
      <c r="G641" s="60"/>
      <c r="H641" s="49"/>
      <c r="I641" s="49"/>
      <c r="J641" s="58"/>
      <c r="K641" s="58"/>
      <c r="L641" s="59"/>
      <c r="M641" s="61"/>
      <c r="N641" s="60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</row>
    <row r="642" spans="1:27" ht="18" customHeight="1">
      <c r="A642" s="50"/>
      <c r="B642" s="49"/>
      <c r="C642" s="58"/>
      <c r="D642" s="59"/>
      <c r="E642" s="61"/>
      <c r="F642" s="60"/>
      <c r="G642" s="60"/>
      <c r="H642" s="49"/>
      <c r="I642" s="49"/>
      <c r="J642" s="58"/>
      <c r="K642" s="58"/>
      <c r="L642" s="59"/>
      <c r="M642" s="61"/>
      <c r="N642" s="60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</row>
    <row r="643" spans="1:27" ht="18" customHeight="1">
      <c r="A643" s="50"/>
      <c r="B643" s="49"/>
      <c r="C643" s="58"/>
      <c r="D643" s="59"/>
      <c r="E643" s="61"/>
      <c r="F643" s="60"/>
      <c r="G643" s="60"/>
      <c r="H643" s="49"/>
      <c r="I643" s="49"/>
      <c r="J643" s="58"/>
      <c r="K643" s="58"/>
      <c r="L643" s="59"/>
      <c r="M643" s="61"/>
      <c r="N643" s="60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</row>
    <row r="644" spans="1:27" ht="18" customHeight="1">
      <c r="A644" s="50"/>
      <c r="B644" s="49"/>
      <c r="C644" s="58"/>
      <c r="D644" s="59"/>
      <c r="E644" s="61"/>
      <c r="F644" s="60"/>
      <c r="G644" s="60"/>
      <c r="H644" s="49"/>
      <c r="I644" s="49"/>
      <c r="J644" s="58"/>
      <c r="K644" s="58"/>
      <c r="L644" s="59"/>
      <c r="M644" s="61"/>
      <c r="N644" s="60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</row>
    <row r="645" spans="1:27" ht="18" customHeight="1">
      <c r="A645" s="50"/>
      <c r="B645" s="49"/>
      <c r="C645" s="58"/>
      <c r="D645" s="59"/>
      <c r="E645" s="61"/>
      <c r="F645" s="60"/>
      <c r="G645" s="60"/>
      <c r="H645" s="49"/>
      <c r="I645" s="49"/>
      <c r="J645" s="58"/>
      <c r="K645" s="58"/>
      <c r="L645" s="59"/>
      <c r="M645" s="61"/>
      <c r="N645" s="60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</row>
    <row r="646" spans="1:27" ht="18" customHeight="1">
      <c r="A646" s="50"/>
      <c r="B646" s="49"/>
      <c r="C646" s="58"/>
      <c r="D646" s="59"/>
      <c r="E646" s="61"/>
      <c r="F646" s="60"/>
      <c r="G646" s="60"/>
      <c r="H646" s="49"/>
      <c r="I646" s="49"/>
      <c r="J646" s="58"/>
      <c r="K646" s="58"/>
      <c r="L646" s="59"/>
      <c r="M646" s="61"/>
      <c r="N646" s="60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</row>
    <row r="647" spans="1:27" ht="18" customHeight="1">
      <c r="A647" s="50"/>
      <c r="B647" s="49"/>
      <c r="C647" s="58"/>
      <c r="D647" s="59"/>
      <c r="E647" s="61"/>
      <c r="F647" s="60"/>
      <c r="G647" s="60"/>
      <c r="H647" s="49"/>
      <c r="I647" s="49"/>
      <c r="J647" s="58"/>
      <c r="K647" s="58"/>
      <c r="L647" s="59"/>
      <c r="M647" s="61"/>
      <c r="N647" s="60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</row>
    <row r="648" spans="1:27" ht="18" customHeight="1">
      <c r="A648" s="50"/>
      <c r="B648" s="49"/>
      <c r="C648" s="58"/>
      <c r="D648" s="59"/>
      <c r="E648" s="61"/>
      <c r="F648" s="60"/>
      <c r="G648" s="60"/>
      <c r="H648" s="49"/>
      <c r="I648" s="49"/>
      <c r="J648" s="58"/>
      <c r="K648" s="58"/>
      <c r="L648" s="59"/>
      <c r="M648" s="61"/>
      <c r="N648" s="60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</row>
    <row r="649" spans="1:27" ht="18" customHeight="1">
      <c r="A649" s="50"/>
      <c r="B649" s="49"/>
      <c r="C649" s="58"/>
      <c r="D649" s="59"/>
      <c r="E649" s="61"/>
      <c r="F649" s="60"/>
      <c r="G649" s="60"/>
      <c r="H649" s="49"/>
      <c r="I649" s="49"/>
      <c r="J649" s="58"/>
      <c r="K649" s="58"/>
      <c r="L649" s="59"/>
      <c r="M649" s="61"/>
      <c r="N649" s="60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</row>
    <row r="650" spans="1:27" ht="18" customHeight="1">
      <c r="A650" s="50"/>
      <c r="B650" s="49"/>
      <c r="C650" s="58"/>
      <c r="D650" s="59"/>
      <c r="E650" s="61"/>
      <c r="F650" s="60"/>
      <c r="G650" s="60"/>
      <c r="H650" s="49"/>
      <c r="I650" s="49"/>
      <c r="J650" s="58"/>
      <c r="K650" s="58"/>
      <c r="L650" s="59"/>
      <c r="M650" s="61"/>
      <c r="N650" s="60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</row>
    <row r="651" spans="1:27" ht="18" customHeight="1">
      <c r="A651" s="50"/>
      <c r="B651" s="49"/>
      <c r="C651" s="58"/>
      <c r="D651" s="59"/>
      <c r="E651" s="61"/>
      <c r="F651" s="60"/>
      <c r="G651" s="60"/>
      <c r="H651" s="49"/>
      <c r="I651" s="49"/>
      <c r="J651" s="58"/>
      <c r="K651" s="58"/>
      <c r="L651" s="59"/>
      <c r="M651" s="61"/>
      <c r="N651" s="60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</row>
    <row r="652" spans="1:27" ht="18" customHeight="1">
      <c r="A652" s="50"/>
      <c r="B652" s="49"/>
      <c r="C652" s="58"/>
      <c r="D652" s="59"/>
      <c r="E652" s="61"/>
      <c r="F652" s="60"/>
      <c r="G652" s="60"/>
      <c r="H652" s="49"/>
      <c r="I652" s="49"/>
      <c r="J652" s="58"/>
      <c r="K652" s="58"/>
      <c r="L652" s="59"/>
      <c r="M652" s="61"/>
      <c r="N652" s="60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</row>
    <row r="653" spans="1:27" ht="18" customHeight="1">
      <c r="A653" s="50"/>
      <c r="B653" s="49"/>
      <c r="C653" s="58"/>
      <c r="D653" s="59"/>
      <c r="E653" s="61"/>
      <c r="F653" s="60"/>
      <c r="G653" s="60"/>
      <c r="H653" s="49"/>
      <c r="I653" s="49"/>
      <c r="J653" s="58"/>
      <c r="K653" s="58"/>
      <c r="L653" s="59"/>
      <c r="M653" s="61"/>
      <c r="N653" s="60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</row>
    <row r="654" spans="1:27" ht="18" customHeight="1">
      <c r="A654" s="50"/>
      <c r="B654" s="49"/>
      <c r="C654" s="58"/>
      <c r="D654" s="59"/>
      <c r="E654" s="61"/>
      <c r="F654" s="60"/>
      <c r="G654" s="60"/>
      <c r="H654" s="49"/>
      <c r="I654" s="49"/>
      <c r="J654" s="58"/>
      <c r="K654" s="58"/>
      <c r="L654" s="59"/>
      <c r="M654" s="61"/>
      <c r="N654" s="60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</row>
    <row r="655" spans="1:27" ht="18" customHeight="1">
      <c r="A655" s="50"/>
      <c r="B655" s="49"/>
      <c r="C655" s="58"/>
      <c r="D655" s="59"/>
      <c r="E655" s="61"/>
      <c r="F655" s="60"/>
      <c r="G655" s="60"/>
      <c r="H655" s="49"/>
      <c r="I655" s="49"/>
      <c r="J655" s="58"/>
      <c r="K655" s="58"/>
      <c r="L655" s="59"/>
      <c r="M655" s="61"/>
      <c r="N655" s="60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</row>
    <row r="656" spans="1:27" ht="18" customHeight="1">
      <c r="A656" s="50"/>
      <c r="B656" s="49"/>
      <c r="C656" s="58"/>
      <c r="D656" s="59"/>
      <c r="E656" s="61"/>
      <c r="F656" s="60"/>
      <c r="G656" s="60"/>
      <c r="H656" s="49"/>
      <c r="I656" s="49"/>
      <c r="J656" s="58"/>
      <c r="K656" s="58"/>
      <c r="L656" s="59"/>
      <c r="M656" s="61"/>
      <c r="N656" s="60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</row>
    <row r="657" spans="1:27" ht="18" customHeight="1">
      <c r="A657" s="50"/>
      <c r="B657" s="49"/>
      <c r="C657" s="58"/>
      <c r="D657" s="59"/>
      <c r="E657" s="61"/>
      <c r="F657" s="60"/>
      <c r="G657" s="60"/>
      <c r="H657" s="49"/>
      <c r="I657" s="49"/>
      <c r="J657" s="58"/>
      <c r="K657" s="58"/>
      <c r="L657" s="59"/>
      <c r="M657" s="61"/>
      <c r="N657" s="60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</row>
    <row r="658" spans="1:27" ht="18" customHeight="1">
      <c r="A658" s="50"/>
      <c r="B658" s="49"/>
      <c r="C658" s="58"/>
      <c r="D658" s="59"/>
      <c r="E658" s="61"/>
      <c r="F658" s="60"/>
      <c r="G658" s="60"/>
      <c r="H658" s="49"/>
      <c r="I658" s="49"/>
      <c r="J658" s="58"/>
      <c r="K658" s="58"/>
      <c r="L658" s="59"/>
      <c r="M658" s="61"/>
      <c r="N658" s="60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</row>
    <row r="659" spans="1:27" ht="18" customHeight="1">
      <c r="A659" s="50"/>
      <c r="B659" s="49"/>
      <c r="C659" s="58"/>
      <c r="D659" s="59"/>
      <c r="E659" s="61"/>
      <c r="F659" s="60"/>
      <c r="G659" s="60"/>
      <c r="H659" s="49"/>
      <c r="I659" s="49"/>
      <c r="J659" s="58"/>
      <c r="K659" s="58"/>
      <c r="L659" s="59"/>
      <c r="M659" s="61"/>
      <c r="N659" s="60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</row>
    <row r="660" spans="1:27" ht="18" customHeight="1">
      <c r="A660" s="50"/>
      <c r="B660" s="49"/>
      <c r="C660" s="58"/>
      <c r="D660" s="59"/>
      <c r="E660" s="61"/>
      <c r="F660" s="60"/>
      <c r="G660" s="60"/>
      <c r="H660" s="49"/>
      <c r="I660" s="49"/>
      <c r="J660" s="58"/>
      <c r="K660" s="58"/>
      <c r="L660" s="59"/>
      <c r="M660" s="61"/>
      <c r="N660" s="60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</row>
    <row r="661" spans="1:27" ht="18" customHeight="1">
      <c r="A661" s="50"/>
      <c r="B661" s="49"/>
      <c r="C661" s="58"/>
      <c r="D661" s="59"/>
      <c r="E661" s="61"/>
      <c r="F661" s="60"/>
      <c r="G661" s="60"/>
      <c r="H661" s="49"/>
      <c r="I661" s="49"/>
      <c r="J661" s="58"/>
      <c r="K661" s="58"/>
      <c r="L661" s="59"/>
      <c r="M661" s="61"/>
      <c r="N661" s="60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</row>
    <row r="662" spans="1:27" ht="18" customHeight="1">
      <c r="A662" s="50"/>
      <c r="B662" s="49"/>
      <c r="C662" s="58"/>
      <c r="D662" s="59"/>
      <c r="E662" s="61"/>
      <c r="F662" s="60"/>
      <c r="G662" s="60"/>
      <c r="H662" s="49"/>
      <c r="I662" s="49"/>
      <c r="J662" s="58"/>
      <c r="K662" s="58"/>
      <c r="L662" s="59"/>
      <c r="M662" s="61"/>
      <c r="N662" s="60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</row>
    <row r="663" spans="1:27" ht="18" customHeight="1">
      <c r="A663" s="50"/>
      <c r="B663" s="49"/>
      <c r="C663" s="58"/>
      <c r="D663" s="59"/>
      <c r="E663" s="61"/>
      <c r="F663" s="60"/>
      <c r="G663" s="60"/>
      <c r="H663" s="49"/>
      <c r="I663" s="49"/>
      <c r="J663" s="58"/>
      <c r="K663" s="58"/>
      <c r="L663" s="59"/>
      <c r="M663" s="61"/>
      <c r="N663" s="60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</row>
    <row r="664" spans="1:27" ht="18" customHeight="1">
      <c r="A664" s="50"/>
      <c r="B664" s="49"/>
      <c r="C664" s="58"/>
      <c r="D664" s="59"/>
      <c r="E664" s="61"/>
      <c r="F664" s="60"/>
      <c r="G664" s="60"/>
      <c r="H664" s="49"/>
      <c r="I664" s="49"/>
      <c r="J664" s="58"/>
      <c r="K664" s="58"/>
      <c r="L664" s="59"/>
      <c r="M664" s="61"/>
      <c r="N664" s="60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</row>
    <row r="665" spans="1:27" ht="18" customHeight="1">
      <c r="A665" s="50"/>
      <c r="B665" s="49"/>
      <c r="C665" s="58"/>
      <c r="D665" s="59"/>
      <c r="E665" s="61"/>
      <c r="F665" s="60"/>
      <c r="G665" s="60"/>
      <c r="H665" s="49"/>
      <c r="I665" s="49"/>
      <c r="J665" s="58"/>
      <c r="K665" s="58"/>
      <c r="L665" s="59"/>
      <c r="M665" s="61"/>
      <c r="N665" s="60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</row>
    <row r="666" spans="1:27" ht="18" customHeight="1">
      <c r="A666" s="50"/>
      <c r="B666" s="49"/>
      <c r="C666" s="58"/>
      <c r="D666" s="59"/>
      <c r="E666" s="61"/>
      <c r="F666" s="60"/>
      <c r="G666" s="60"/>
      <c r="H666" s="49"/>
      <c r="I666" s="49"/>
      <c r="J666" s="58"/>
      <c r="K666" s="58"/>
      <c r="L666" s="59"/>
      <c r="M666" s="61"/>
      <c r="N666" s="60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</row>
    <row r="667" spans="1:27" ht="18" customHeight="1">
      <c r="A667" s="50"/>
      <c r="B667" s="49"/>
      <c r="C667" s="58"/>
      <c r="D667" s="59"/>
      <c r="E667" s="61"/>
      <c r="F667" s="60"/>
      <c r="G667" s="60"/>
      <c r="H667" s="49"/>
      <c r="I667" s="49"/>
      <c r="J667" s="58"/>
      <c r="K667" s="58"/>
      <c r="L667" s="59"/>
      <c r="M667" s="61"/>
      <c r="N667" s="60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</row>
    <row r="668" spans="1:27" ht="18" customHeight="1">
      <c r="A668" s="50"/>
      <c r="B668" s="49"/>
      <c r="C668" s="58"/>
      <c r="D668" s="59"/>
      <c r="E668" s="61"/>
      <c r="F668" s="60"/>
      <c r="G668" s="60"/>
      <c r="H668" s="49"/>
      <c r="I668" s="49"/>
      <c r="J668" s="58"/>
      <c r="K668" s="58"/>
      <c r="L668" s="59"/>
      <c r="M668" s="61"/>
      <c r="N668" s="60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</row>
    <row r="669" spans="1:27" ht="18" customHeight="1">
      <c r="A669" s="50"/>
      <c r="B669" s="49"/>
      <c r="C669" s="58"/>
      <c r="D669" s="59"/>
      <c r="E669" s="61"/>
      <c r="F669" s="60"/>
      <c r="G669" s="60"/>
      <c r="H669" s="49"/>
      <c r="I669" s="49"/>
      <c r="J669" s="58"/>
      <c r="K669" s="58"/>
      <c r="L669" s="59"/>
      <c r="M669" s="61"/>
      <c r="N669" s="60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</row>
    <row r="670" spans="1:27" ht="18" customHeight="1">
      <c r="A670" s="50"/>
      <c r="B670" s="49"/>
      <c r="C670" s="58"/>
      <c r="D670" s="59"/>
      <c r="E670" s="61"/>
      <c r="F670" s="60"/>
      <c r="G670" s="60"/>
      <c r="H670" s="49"/>
      <c r="I670" s="49"/>
      <c r="J670" s="58"/>
      <c r="K670" s="58"/>
      <c r="L670" s="59"/>
      <c r="M670" s="61"/>
      <c r="N670" s="60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</row>
    <row r="671" spans="1:27" ht="18" customHeight="1">
      <c r="A671" s="50"/>
      <c r="B671" s="49"/>
      <c r="C671" s="58"/>
      <c r="D671" s="59"/>
      <c r="E671" s="61"/>
      <c r="F671" s="60"/>
      <c r="G671" s="60"/>
      <c r="H671" s="49"/>
      <c r="I671" s="49"/>
      <c r="J671" s="58"/>
      <c r="K671" s="58"/>
      <c r="L671" s="59"/>
      <c r="M671" s="61"/>
      <c r="N671" s="60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</row>
    <row r="672" spans="1:27" ht="18" customHeight="1">
      <c r="A672" s="50"/>
      <c r="B672" s="49"/>
      <c r="C672" s="58"/>
      <c r="D672" s="59"/>
      <c r="E672" s="61"/>
      <c r="F672" s="60"/>
      <c r="G672" s="60"/>
      <c r="H672" s="49"/>
      <c r="I672" s="49"/>
      <c r="J672" s="58"/>
      <c r="K672" s="58"/>
      <c r="L672" s="59"/>
      <c r="M672" s="61"/>
      <c r="N672" s="60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</row>
    <row r="673" spans="1:27" ht="18" customHeight="1">
      <c r="A673" s="50"/>
      <c r="B673" s="49"/>
      <c r="C673" s="58"/>
      <c r="D673" s="59"/>
      <c r="E673" s="61"/>
      <c r="F673" s="60"/>
      <c r="G673" s="60"/>
      <c r="H673" s="49"/>
      <c r="I673" s="49"/>
      <c r="J673" s="58"/>
      <c r="K673" s="58"/>
      <c r="L673" s="59"/>
      <c r="M673" s="61"/>
      <c r="N673" s="60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</row>
    <row r="674" spans="1:27" ht="18" customHeight="1">
      <c r="A674" s="50"/>
      <c r="B674" s="49"/>
      <c r="C674" s="58"/>
      <c r="D674" s="59"/>
      <c r="E674" s="61"/>
      <c r="F674" s="60"/>
      <c r="G674" s="60"/>
      <c r="H674" s="49"/>
      <c r="I674" s="49"/>
      <c r="J674" s="58"/>
      <c r="K674" s="58"/>
      <c r="L674" s="59"/>
      <c r="M674" s="61"/>
      <c r="N674" s="60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</row>
    <row r="675" spans="1:27" ht="18" customHeight="1">
      <c r="A675" s="50"/>
      <c r="B675" s="49"/>
      <c r="C675" s="58"/>
      <c r="D675" s="59"/>
      <c r="E675" s="61"/>
      <c r="F675" s="60"/>
      <c r="G675" s="60"/>
      <c r="H675" s="49"/>
      <c r="I675" s="49"/>
      <c r="J675" s="58"/>
      <c r="K675" s="58"/>
      <c r="L675" s="59"/>
      <c r="M675" s="61"/>
      <c r="N675" s="60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</row>
    <row r="676" spans="1:27" ht="18" customHeight="1">
      <c r="A676" s="50"/>
      <c r="B676" s="49"/>
      <c r="C676" s="58"/>
      <c r="D676" s="59"/>
      <c r="E676" s="61"/>
      <c r="F676" s="60"/>
      <c r="G676" s="60"/>
      <c r="H676" s="49"/>
      <c r="I676" s="49"/>
      <c r="J676" s="58"/>
      <c r="K676" s="58"/>
      <c r="L676" s="59"/>
      <c r="M676" s="61"/>
      <c r="N676" s="60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</row>
    <row r="677" spans="1:27" ht="18" customHeight="1">
      <c r="A677" s="50"/>
      <c r="B677" s="49"/>
      <c r="C677" s="58"/>
      <c r="D677" s="59"/>
      <c r="E677" s="61"/>
      <c r="F677" s="60"/>
      <c r="G677" s="60"/>
      <c r="H677" s="49"/>
      <c r="I677" s="49"/>
      <c r="J677" s="58"/>
      <c r="K677" s="58"/>
      <c r="L677" s="59"/>
      <c r="M677" s="61"/>
      <c r="N677" s="60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</row>
    <row r="678" spans="1:27" ht="18" customHeight="1">
      <c r="A678" s="50"/>
      <c r="B678" s="49"/>
      <c r="C678" s="58"/>
      <c r="D678" s="59"/>
      <c r="E678" s="61"/>
      <c r="F678" s="60"/>
      <c r="G678" s="60"/>
      <c r="H678" s="49"/>
      <c r="I678" s="49"/>
      <c r="J678" s="58"/>
      <c r="K678" s="58"/>
      <c r="L678" s="59"/>
      <c r="M678" s="61"/>
      <c r="N678" s="60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</row>
    <row r="679" spans="1:27" ht="18" customHeight="1">
      <c r="A679" s="50"/>
      <c r="B679" s="49"/>
      <c r="C679" s="58"/>
      <c r="D679" s="59"/>
      <c r="E679" s="61"/>
      <c r="F679" s="60"/>
      <c r="G679" s="60"/>
      <c r="H679" s="49"/>
      <c r="I679" s="49"/>
      <c r="J679" s="58"/>
      <c r="K679" s="58"/>
      <c r="L679" s="59"/>
      <c r="M679" s="61"/>
      <c r="N679" s="60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</row>
    <row r="680" spans="1:27" ht="18" customHeight="1">
      <c r="A680" s="50"/>
      <c r="B680" s="49"/>
      <c r="C680" s="58"/>
      <c r="D680" s="59"/>
      <c r="E680" s="61"/>
      <c r="F680" s="60"/>
      <c r="G680" s="60"/>
      <c r="H680" s="49"/>
      <c r="I680" s="49"/>
      <c r="J680" s="58"/>
      <c r="K680" s="58"/>
      <c r="L680" s="59"/>
      <c r="M680" s="61"/>
      <c r="N680" s="60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</row>
    <row r="681" spans="1:27" ht="18" customHeight="1">
      <c r="A681" s="50"/>
      <c r="B681" s="49"/>
      <c r="C681" s="58"/>
      <c r="D681" s="59"/>
      <c r="E681" s="61"/>
      <c r="F681" s="60"/>
      <c r="G681" s="60"/>
      <c r="H681" s="49"/>
      <c r="I681" s="49"/>
      <c r="J681" s="58"/>
      <c r="K681" s="58"/>
      <c r="L681" s="59"/>
      <c r="M681" s="61"/>
      <c r="N681" s="60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</row>
    <row r="682" spans="1:27" ht="18" customHeight="1">
      <c r="A682" s="50"/>
      <c r="B682" s="49"/>
      <c r="C682" s="58"/>
      <c r="D682" s="59"/>
      <c r="E682" s="61"/>
      <c r="F682" s="60"/>
      <c r="G682" s="60"/>
      <c r="H682" s="49"/>
      <c r="I682" s="49"/>
      <c r="J682" s="58"/>
      <c r="K682" s="58"/>
      <c r="L682" s="59"/>
      <c r="M682" s="61"/>
      <c r="N682" s="60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</row>
    <row r="683" spans="1:27" ht="18" customHeight="1">
      <c r="A683" s="50"/>
      <c r="B683" s="49"/>
      <c r="C683" s="58"/>
      <c r="D683" s="59"/>
      <c r="E683" s="61"/>
      <c r="F683" s="60"/>
      <c r="G683" s="60"/>
      <c r="H683" s="49"/>
      <c r="I683" s="49"/>
      <c r="J683" s="58"/>
      <c r="K683" s="58"/>
      <c r="L683" s="59"/>
      <c r="M683" s="61"/>
      <c r="N683" s="60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</row>
    <row r="684" spans="1:27" ht="18" customHeight="1">
      <c r="A684" s="50"/>
      <c r="B684" s="49"/>
      <c r="C684" s="58"/>
      <c r="D684" s="59"/>
      <c r="E684" s="61"/>
      <c r="F684" s="60"/>
      <c r="G684" s="60"/>
      <c r="H684" s="49"/>
      <c r="I684" s="49"/>
      <c r="J684" s="58"/>
      <c r="K684" s="58"/>
      <c r="L684" s="59"/>
      <c r="M684" s="61"/>
      <c r="N684" s="60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</row>
    <row r="685" spans="1:27" ht="18" customHeight="1">
      <c r="A685" s="50"/>
      <c r="B685" s="49"/>
      <c r="C685" s="58"/>
      <c r="D685" s="59"/>
      <c r="E685" s="61"/>
      <c r="F685" s="60"/>
      <c r="G685" s="60"/>
      <c r="H685" s="49"/>
      <c r="I685" s="49"/>
      <c r="J685" s="58"/>
      <c r="K685" s="58"/>
      <c r="L685" s="59"/>
      <c r="M685" s="61"/>
      <c r="N685" s="60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</row>
    <row r="686" spans="1:27" ht="18" customHeight="1">
      <c r="A686" s="50"/>
      <c r="B686" s="49"/>
      <c r="C686" s="58"/>
      <c r="D686" s="59"/>
      <c r="E686" s="61"/>
      <c r="F686" s="60"/>
      <c r="G686" s="60"/>
      <c r="H686" s="49"/>
      <c r="I686" s="49"/>
      <c r="J686" s="58"/>
      <c r="K686" s="58"/>
      <c r="L686" s="59"/>
      <c r="M686" s="61"/>
      <c r="N686" s="60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</row>
    <row r="687" spans="1:27" ht="18" customHeight="1">
      <c r="A687" s="50"/>
      <c r="B687" s="49"/>
      <c r="C687" s="58"/>
      <c r="D687" s="59"/>
      <c r="E687" s="61"/>
      <c r="F687" s="60"/>
      <c r="G687" s="60"/>
      <c r="H687" s="49"/>
      <c r="I687" s="49"/>
      <c r="J687" s="58"/>
      <c r="K687" s="58"/>
      <c r="L687" s="59"/>
      <c r="M687" s="61"/>
      <c r="N687" s="60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</row>
    <row r="688" spans="1:27" ht="18" customHeight="1">
      <c r="A688" s="50"/>
      <c r="B688" s="49"/>
      <c r="C688" s="58"/>
      <c r="D688" s="59"/>
      <c r="E688" s="61"/>
      <c r="F688" s="60"/>
      <c r="G688" s="60"/>
      <c r="H688" s="49"/>
      <c r="I688" s="49"/>
      <c r="J688" s="58"/>
      <c r="K688" s="58"/>
      <c r="L688" s="59"/>
      <c r="M688" s="61"/>
      <c r="N688" s="60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</row>
    <row r="689" spans="1:27" ht="18" customHeight="1">
      <c r="A689" s="50"/>
      <c r="B689" s="49"/>
      <c r="C689" s="58"/>
      <c r="D689" s="59"/>
      <c r="E689" s="61"/>
      <c r="F689" s="60"/>
      <c r="G689" s="60"/>
      <c r="H689" s="49"/>
      <c r="I689" s="49"/>
      <c r="J689" s="58"/>
      <c r="K689" s="58"/>
      <c r="L689" s="59"/>
      <c r="M689" s="61"/>
      <c r="N689" s="60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</row>
    <row r="690" spans="1:27" ht="18" customHeight="1">
      <c r="A690" s="50"/>
      <c r="B690" s="49"/>
      <c r="C690" s="58"/>
      <c r="D690" s="59"/>
      <c r="E690" s="61"/>
      <c r="F690" s="60"/>
      <c r="G690" s="60"/>
      <c r="H690" s="49"/>
      <c r="I690" s="49"/>
      <c r="J690" s="58"/>
      <c r="K690" s="58"/>
      <c r="L690" s="59"/>
      <c r="M690" s="61"/>
      <c r="N690" s="60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</row>
    <row r="691" spans="1:27" ht="18" customHeight="1">
      <c r="A691" s="50"/>
      <c r="B691" s="49"/>
      <c r="C691" s="58"/>
      <c r="D691" s="59"/>
      <c r="E691" s="61"/>
      <c r="F691" s="60"/>
      <c r="G691" s="60"/>
      <c r="H691" s="49"/>
      <c r="I691" s="49"/>
      <c r="J691" s="58"/>
      <c r="K691" s="58"/>
      <c r="L691" s="59"/>
      <c r="M691" s="61"/>
      <c r="N691" s="60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</row>
    <row r="692" spans="1:27" ht="18" customHeight="1">
      <c r="A692" s="50"/>
      <c r="B692" s="49"/>
      <c r="C692" s="58"/>
      <c r="D692" s="59"/>
      <c r="E692" s="61"/>
      <c r="F692" s="60"/>
      <c r="G692" s="60"/>
      <c r="H692" s="49"/>
      <c r="I692" s="49"/>
      <c r="J692" s="58"/>
      <c r="K692" s="58"/>
      <c r="L692" s="59"/>
      <c r="M692" s="61"/>
      <c r="N692" s="60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</row>
    <row r="693" spans="1:27" ht="18" customHeight="1">
      <c r="A693" s="50"/>
      <c r="B693" s="49"/>
      <c r="C693" s="58"/>
      <c r="D693" s="59"/>
      <c r="E693" s="61"/>
      <c r="F693" s="60"/>
      <c r="G693" s="60"/>
      <c r="H693" s="49"/>
      <c r="I693" s="49"/>
      <c r="J693" s="58"/>
      <c r="K693" s="58"/>
      <c r="L693" s="59"/>
      <c r="M693" s="61"/>
      <c r="N693" s="60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</row>
    <row r="694" spans="1:27" ht="18" customHeight="1">
      <c r="A694" s="50"/>
      <c r="B694" s="49"/>
      <c r="C694" s="58"/>
      <c r="D694" s="59"/>
      <c r="E694" s="61"/>
      <c r="F694" s="60"/>
      <c r="G694" s="60"/>
      <c r="H694" s="49"/>
      <c r="I694" s="49"/>
      <c r="J694" s="58"/>
      <c r="K694" s="58"/>
      <c r="L694" s="59"/>
      <c r="M694" s="61"/>
      <c r="N694" s="60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</row>
    <row r="695" spans="1:27" ht="18" customHeight="1">
      <c r="A695" s="50"/>
      <c r="B695" s="49"/>
      <c r="C695" s="58"/>
      <c r="D695" s="59"/>
      <c r="E695" s="61"/>
      <c r="F695" s="60"/>
      <c r="G695" s="60"/>
      <c r="H695" s="49"/>
      <c r="I695" s="49"/>
      <c r="J695" s="58"/>
      <c r="K695" s="58"/>
      <c r="L695" s="59"/>
      <c r="M695" s="61"/>
      <c r="N695" s="60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</row>
    <row r="696" spans="1:27" ht="18" customHeight="1">
      <c r="A696" s="50"/>
      <c r="B696" s="49"/>
      <c r="C696" s="58"/>
      <c r="D696" s="59"/>
      <c r="E696" s="61"/>
      <c r="F696" s="60"/>
      <c r="G696" s="60"/>
      <c r="H696" s="49"/>
      <c r="I696" s="49"/>
      <c r="J696" s="58"/>
      <c r="K696" s="58"/>
      <c r="L696" s="59"/>
      <c r="M696" s="61"/>
      <c r="N696" s="60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</row>
    <row r="697" spans="1:27" ht="18" customHeight="1">
      <c r="A697" s="50"/>
      <c r="B697" s="49"/>
      <c r="C697" s="58"/>
      <c r="D697" s="59"/>
      <c r="E697" s="61"/>
      <c r="F697" s="60"/>
      <c r="G697" s="60"/>
      <c r="H697" s="49"/>
      <c r="I697" s="49"/>
      <c r="J697" s="58"/>
      <c r="K697" s="58"/>
      <c r="L697" s="59"/>
      <c r="M697" s="61"/>
      <c r="N697" s="60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</row>
    <row r="698" spans="1:27" ht="18" customHeight="1">
      <c r="A698" s="50"/>
      <c r="B698" s="49"/>
      <c r="C698" s="58"/>
      <c r="D698" s="59"/>
      <c r="E698" s="61"/>
      <c r="F698" s="60"/>
      <c r="G698" s="60"/>
      <c r="H698" s="49"/>
      <c r="I698" s="49"/>
      <c r="J698" s="58"/>
      <c r="K698" s="58"/>
      <c r="L698" s="59"/>
      <c r="M698" s="61"/>
      <c r="N698" s="60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</row>
    <row r="699" spans="1:27" ht="18" customHeight="1">
      <c r="A699" s="50"/>
      <c r="B699" s="49"/>
      <c r="C699" s="58"/>
      <c r="D699" s="59"/>
      <c r="E699" s="61"/>
      <c r="F699" s="60"/>
      <c r="G699" s="60"/>
      <c r="H699" s="49"/>
      <c r="I699" s="49"/>
      <c r="J699" s="58"/>
      <c r="K699" s="58"/>
      <c r="L699" s="59"/>
      <c r="M699" s="61"/>
      <c r="N699" s="60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</row>
    <row r="700" spans="1:27" ht="18" customHeight="1">
      <c r="A700" s="50"/>
      <c r="B700" s="49"/>
      <c r="C700" s="58"/>
      <c r="D700" s="59"/>
      <c r="E700" s="61"/>
      <c r="F700" s="60"/>
      <c r="G700" s="60"/>
      <c r="H700" s="49"/>
      <c r="I700" s="49"/>
      <c r="J700" s="58"/>
      <c r="K700" s="58"/>
      <c r="L700" s="59"/>
      <c r="M700" s="61"/>
      <c r="N700" s="60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</row>
    <row r="701" spans="1:27" ht="18" customHeight="1">
      <c r="A701" s="50"/>
      <c r="B701" s="49"/>
      <c r="C701" s="58"/>
      <c r="D701" s="59"/>
      <c r="E701" s="61"/>
      <c r="F701" s="60"/>
      <c r="G701" s="60"/>
      <c r="H701" s="49"/>
      <c r="I701" s="49"/>
      <c r="J701" s="58"/>
      <c r="K701" s="58"/>
      <c r="L701" s="59"/>
      <c r="M701" s="61"/>
      <c r="N701" s="60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</row>
    <row r="702" spans="1:27" ht="18" customHeight="1">
      <c r="A702" s="50"/>
      <c r="B702" s="49"/>
      <c r="C702" s="58"/>
      <c r="D702" s="59"/>
      <c r="E702" s="61"/>
      <c r="F702" s="60"/>
      <c r="G702" s="60"/>
      <c r="H702" s="49"/>
      <c r="I702" s="49"/>
      <c r="J702" s="58"/>
      <c r="K702" s="58"/>
      <c r="L702" s="59"/>
      <c r="M702" s="61"/>
      <c r="N702" s="60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</row>
    <row r="703" spans="1:27" ht="18" customHeight="1">
      <c r="A703" s="50"/>
      <c r="B703" s="49"/>
      <c r="C703" s="58"/>
      <c r="D703" s="59"/>
      <c r="E703" s="61"/>
      <c r="F703" s="60"/>
      <c r="G703" s="60"/>
      <c r="H703" s="49"/>
      <c r="I703" s="49"/>
      <c r="J703" s="58"/>
      <c r="K703" s="58"/>
      <c r="L703" s="59"/>
      <c r="M703" s="61"/>
      <c r="N703" s="60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</row>
    <row r="704" spans="1:27" ht="18" customHeight="1">
      <c r="A704" s="50"/>
      <c r="B704" s="49"/>
      <c r="C704" s="58"/>
      <c r="D704" s="59"/>
      <c r="E704" s="61"/>
      <c r="F704" s="60"/>
      <c r="G704" s="60"/>
      <c r="H704" s="49"/>
      <c r="I704" s="49"/>
      <c r="J704" s="58"/>
      <c r="K704" s="58"/>
      <c r="L704" s="59"/>
      <c r="M704" s="61"/>
      <c r="N704" s="60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</row>
    <row r="705" spans="1:27" ht="18" customHeight="1">
      <c r="A705" s="50"/>
      <c r="B705" s="49"/>
      <c r="C705" s="58"/>
      <c r="D705" s="59"/>
      <c r="E705" s="61"/>
      <c r="F705" s="60"/>
      <c r="G705" s="60"/>
      <c r="H705" s="49"/>
      <c r="I705" s="49"/>
      <c r="J705" s="58"/>
      <c r="K705" s="58"/>
      <c r="L705" s="59"/>
      <c r="M705" s="61"/>
      <c r="N705" s="60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</row>
    <row r="706" spans="1:27" ht="18" customHeight="1">
      <c r="A706" s="50"/>
      <c r="B706" s="49"/>
      <c r="C706" s="58"/>
      <c r="D706" s="59"/>
      <c r="E706" s="61"/>
      <c r="F706" s="60"/>
      <c r="G706" s="60"/>
      <c r="H706" s="49"/>
      <c r="I706" s="49"/>
      <c r="J706" s="58"/>
      <c r="K706" s="58"/>
      <c r="L706" s="59"/>
      <c r="M706" s="61"/>
      <c r="N706" s="60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</row>
    <row r="707" spans="1:27" ht="18" customHeight="1">
      <c r="A707" s="50"/>
      <c r="B707" s="49"/>
      <c r="C707" s="58"/>
      <c r="D707" s="59"/>
      <c r="E707" s="61"/>
      <c r="F707" s="60"/>
      <c r="G707" s="60"/>
      <c r="H707" s="49"/>
      <c r="I707" s="49"/>
      <c r="J707" s="58"/>
      <c r="K707" s="58"/>
      <c r="L707" s="59"/>
      <c r="M707" s="61"/>
      <c r="N707" s="60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</row>
    <row r="708" spans="1:27" ht="18" customHeight="1">
      <c r="A708" s="50"/>
      <c r="B708" s="49"/>
      <c r="C708" s="58"/>
      <c r="D708" s="59"/>
      <c r="E708" s="61"/>
      <c r="F708" s="60"/>
      <c r="G708" s="60"/>
      <c r="H708" s="49"/>
      <c r="I708" s="49"/>
      <c r="J708" s="58"/>
      <c r="K708" s="58"/>
      <c r="L708" s="59"/>
      <c r="M708" s="61"/>
      <c r="N708" s="60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</row>
    <row r="709" spans="1:27" ht="18" customHeight="1">
      <c r="A709" s="50"/>
      <c r="B709" s="49"/>
      <c r="C709" s="58"/>
      <c r="D709" s="59"/>
      <c r="E709" s="61"/>
      <c r="F709" s="60"/>
      <c r="G709" s="60"/>
      <c r="H709" s="49"/>
      <c r="I709" s="49"/>
      <c r="J709" s="58"/>
      <c r="K709" s="58"/>
      <c r="L709" s="59"/>
      <c r="M709" s="61"/>
      <c r="N709" s="60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</row>
    <row r="710" spans="1:27" ht="18" customHeight="1">
      <c r="A710" s="50"/>
      <c r="B710" s="49"/>
      <c r="C710" s="58"/>
      <c r="D710" s="59"/>
      <c r="E710" s="61"/>
      <c r="F710" s="60"/>
      <c r="G710" s="60"/>
      <c r="H710" s="49"/>
      <c r="I710" s="49"/>
      <c r="J710" s="58"/>
      <c r="K710" s="58"/>
      <c r="L710" s="59"/>
      <c r="M710" s="61"/>
      <c r="N710" s="60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</row>
    <row r="711" spans="1:27" ht="18" customHeight="1">
      <c r="A711" s="50"/>
      <c r="B711" s="49"/>
      <c r="C711" s="58"/>
      <c r="D711" s="59"/>
      <c r="E711" s="61"/>
      <c r="F711" s="60"/>
      <c r="G711" s="60"/>
      <c r="H711" s="49"/>
      <c r="I711" s="49"/>
      <c r="J711" s="58"/>
      <c r="K711" s="58"/>
      <c r="L711" s="59"/>
      <c r="M711" s="61"/>
      <c r="N711" s="60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</row>
    <row r="712" spans="1:27" ht="18" customHeight="1">
      <c r="A712" s="50"/>
      <c r="B712" s="49"/>
      <c r="C712" s="58"/>
      <c r="D712" s="59"/>
      <c r="E712" s="61"/>
      <c r="F712" s="60"/>
      <c r="G712" s="60"/>
      <c r="H712" s="49"/>
      <c r="I712" s="49"/>
      <c r="J712" s="58"/>
      <c r="K712" s="58"/>
      <c r="L712" s="59"/>
      <c r="M712" s="61"/>
      <c r="N712" s="60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</row>
    <row r="713" spans="1:27" ht="18" customHeight="1">
      <c r="A713" s="50"/>
      <c r="B713" s="49"/>
      <c r="C713" s="58"/>
      <c r="D713" s="59"/>
      <c r="E713" s="61"/>
      <c r="F713" s="60"/>
      <c r="G713" s="60"/>
      <c r="H713" s="49"/>
      <c r="I713" s="49"/>
      <c r="J713" s="58"/>
      <c r="K713" s="58"/>
      <c r="L713" s="59"/>
      <c r="M713" s="61"/>
      <c r="N713" s="60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</row>
    <row r="714" spans="1:27" ht="18" customHeight="1">
      <c r="A714" s="50"/>
      <c r="B714" s="49"/>
      <c r="C714" s="58"/>
      <c r="D714" s="59"/>
      <c r="E714" s="61"/>
      <c r="F714" s="60"/>
      <c r="G714" s="60"/>
      <c r="H714" s="49"/>
      <c r="I714" s="49"/>
      <c r="J714" s="58"/>
      <c r="K714" s="58"/>
      <c r="L714" s="59"/>
      <c r="M714" s="61"/>
      <c r="N714" s="60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</row>
    <row r="715" spans="1:27" ht="18" customHeight="1">
      <c r="A715" s="50"/>
      <c r="B715" s="49"/>
      <c r="C715" s="58"/>
      <c r="D715" s="59"/>
      <c r="E715" s="61"/>
      <c r="F715" s="60"/>
      <c r="G715" s="60"/>
      <c r="H715" s="49"/>
      <c r="I715" s="49"/>
      <c r="J715" s="58"/>
      <c r="K715" s="58"/>
      <c r="L715" s="59"/>
      <c r="M715" s="61"/>
      <c r="N715" s="60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</row>
    <row r="716" spans="1:27" ht="18" customHeight="1">
      <c r="A716" s="50"/>
      <c r="B716" s="49"/>
      <c r="C716" s="58"/>
      <c r="D716" s="59"/>
      <c r="E716" s="61"/>
      <c r="F716" s="60"/>
      <c r="G716" s="60"/>
      <c r="H716" s="49"/>
      <c r="I716" s="49"/>
      <c r="J716" s="58"/>
      <c r="K716" s="58"/>
      <c r="L716" s="59"/>
      <c r="M716" s="61"/>
      <c r="N716" s="60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</row>
    <row r="717" spans="1:27" ht="18" customHeight="1">
      <c r="A717" s="50"/>
      <c r="B717" s="49"/>
      <c r="C717" s="58"/>
      <c r="D717" s="59"/>
      <c r="E717" s="61"/>
      <c r="F717" s="60"/>
      <c r="G717" s="60"/>
      <c r="H717" s="49"/>
      <c r="I717" s="49"/>
      <c r="J717" s="58"/>
      <c r="K717" s="58"/>
      <c r="L717" s="59"/>
      <c r="M717" s="61"/>
      <c r="N717" s="60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</row>
    <row r="718" spans="1:27" ht="18" customHeight="1">
      <c r="A718" s="50"/>
      <c r="B718" s="49"/>
      <c r="C718" s="58"/>
      <c r="D718" s="59"/>
      <c r="E718" s="61"/>
      <c r="F718" s="60"/>
      <c r="G718" s="60"/>
      <c r="H718" s="49"/>
      <c r="I718" s="49"/>
      <c r="J718" s="58"/>
      <c r="K718" s="58"/>
      <c r="L718" s="59"/>
      <c r="M718" s="61"/>
      <c r="N718" s="60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</row>
    <row r="719" spans="1:27" ht="18" customHeight="1">
      <c r="A719" s="50"/>
      <c r="B719" s="49"/>
      <c r="C719" s="58"/>
      <c r="D719" s="59"/>
      <c r="E719" s="61"/>
      <c r="F719" s="60"/>
      <c r="G719" s="60"/>
      <c r="H719" s="49"/>
      <c r="I719" s="49"/>
      <c r="J719" s="58"/>
      <c r="K719" s="58"/>
      <c r="L719" s="59"/>
      <c r="M719" s="61"/>
      <c r="N719" s="60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</row>
    <row r="720" spans="1:27" ht="18" customHeight="1">
      <c r="A720" s="50"/>
      <c r="B720" s="49"/>
      <c r="C720" s="58"/>
      <c r="D720" s="59"/>
      <c r="E720" s="61"/>
      <c r="F720" s="60"/>
      <c r="G720" s="60"/>
      <c r="H720" s="49"/>
      <c r="I720" s="49"/>
      <c r="J720" s="58"/>
      <c r="K720" s="58"/>
      <c r="L720" s="59"/>
      <c r="M720" s="61"/>
      <c r="N720" s="60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</row>
    <row r="721" spans="1:27" ht="18" customHeight="1">
      <c r="A721" s="50"/>
      <c r="B721" s="49"/>
      <c r="C721" s="58"/>
      <c r="D721" s="59"/>
      <c r="E721" s="61"/>
      <c r="F721" s="60"/>
      <c r="G721" s="60"/>
      <c r="H721" s="49"/>
      <c r="I721" s="49"/>
      <c r="J721" s="58"/>
      <c r="K721" s="58"/>
      <c r="L721" s="59"/>
      <c r="M721" s="61"/>
      <c r="N721" s="60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</row>
    <row r="722" spans="1:27" ht="18" customHeight="1">
      <c r="A722" s="50"/>
      <c r="B722" s="49"/>
      <c r="C722" s="58"/>
      <c r="D722" s="59"/>
      <c r="E722" s="61"/>
      <c r="F722" s="60"/>
      <c r="G722" s="60"/>
      <c r="H722" s="49"/>
      <c r="I722" s="49"/>
      <c r="J722" s="58"/>
      <c r="K722" s="58"/>
      <c r="L722" s="59"/>
      <c r="M722" s="61"/>
      <c r="N722" s="60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</row>
    <row r="723" spans="1:27" ht="18" customHeight="1">
      <c r="A723" s="50"/>
      <c r="B723" s="49"/>
      <c r="C723" s="58"/>
      <c r="D723" s="59"/>
      <c r="E723" s="61"/>
      <c r="F723" s="60"/>
      <c r="G723" s="60"/>
      <c r="H723" s="49"/>
      <c r="I723" s="49"/>
      <c r="J723" s="58"/>
      <c r="K723" s="58"/>
      <c r="L723" s="59"/>
      <c r="M723" s="61"/>
      <c r="N723" s="60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</row>
    <row r="724" spans="1:27" ht="18" customHeight="1">
      <c r="A724" s="50"/>
      <c r="B724" s="49"/>
      <c r="C724" s="58"/>
      <c r="D724" s="59"/>
      <c r="E724" s="61"/>
      <c r="F724" s="60"/>
      <c r="G724" s="60"/>
      <c r="H724" s="49"/>
      <c r="I724" s="49"/>
      <c r="J724" s="58"/>
      <c r="K724" s="58"/>
      <c r="L724" s="59"/>
      <c r="M724" s="61"/>
      <c r="N724" s="60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</row>
    <row r="725" spans="1:27" ht="18" customHeight="1">
      <c r="A725" s="50"/>
      <c r="B725" s="49"/>
      <c r="C725" s="58"/>
      <c r="D725" s="59"/>
      <c r="E725" s="61"/>
      <c r="F725" s="60"/>
      <c r="G725" s="60"/>
      <c r="H725" s="49"/>
      <c r="I725" s="49"/>
      <c r="J725" s="58"/>
      <c r="K725" s="58"/>
      <c r="L725" s="59"/>
      <c r="M725" s="61"/>
      <c r="N725" s="60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</row>
    <row r="726" spans="1:27" ht="18" customHeight="1">
      <c r="A726" s="50"/>
      <c r="B726" s="49"/>
      <c r="C726" s="58"/>
      <c r="D726" s="59"/>
      <c r="E726" s="61"/>
      <c r="F726" s="60"/>
      <c r="G726" s="60"/>
      <c r="H726" s="49"/>
      <c r="I726" s="49"/>
      <c r="J726" s="58"/>
      <c r="K726" s="58"/>
      <c r="L726" s="59"/>
      <c r="M726" s="61"/>
      <c r="N726" s="60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</row>
    <row r="727" spans="1:27" ht="18" customHeight="1">
      <c r="A727" s="50"/>
      <c r="B727" s="49"/>
      <c r="C727" s="58"/>
      <c r="D727" s="59"/>
      <c r="E727" s="61"/>
      <c r="F727" s="60"/>
      <c r="G727" s="60"/>
      <c r="H727" s="49"/>
      <c r="I727" s="49"/>
      <c r="J727" s="58"/>
      <c r="K727" s="58"/>
      <c r="L727" s="59"/>
      <c r="M727" s="61"/>
      <c r="N727" s="60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</row>
    <row r="728" spans="1:27" ht="18" customHeight="1">
      <c r="A728" s="50"/>
      <c r="B728" s="49"/>
      <c r="C728" s="58"/>
      <c r="D728" s="59"/>
      <c r="E728" s="61"/>
      <c r="F728" s="60"/>
      <c r="G728" s="60"/>
      <c r="H728" s="49"/>
      <c r="I728" s="49"/>
      <c r="J728" s="58"/>
      <c r="K728" s="58"/>
      <c r="L728" s="59"/>
      <c r="M728" s="61"/>
      <c r="N728" s="60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</row>
    <row r="729" spans="1:27" ht="18" customHeight="1">
      <c r="A729" s="50"/>
      <c r="B729" s="49"/>
      <c r="C729" s="58"/>
      <c r="D729" s="59"/>
      <c r="E729" s="61"/>
      <c r="F729" s="60"/>
      <c r="G729" s="60"/>
      <c r="H729" s="49"/>
      <c r="I729" s="49"/>
      <c r="J729" s="58"/>
      <c r="K729" s="58"/>
      <c r="L729" s="59"/>
      <c r="M729" s="61"/>
      <c r="N729" s="60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</row>
    <row r="730" spans="1:27" ht="18" customHeight="1">
      <c r="A730" s="50"/>
      <c r="B730" s="49"/>
      <c r="C730" s="58"/>
      <c r="D730" s="59"/>
      <c r="E730" s="61"/>
      <c r="F730" s="60"/>
      <c r="G730" s="60"/>
      <c r="H730" s="49"/>
      <c r="I730" s="49"/>
      <c r="J730" s="58"/>
      <c r="K730" s="58"/>
      <c r="L730" s="59"/>
      <c r="M730" s="61"/>
      <c r="N730" s="60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</row>
    <row r="731" spans="1:27" ht="18" customHeight="1">
      <c r="A731" s="50"/>
      <c r="B731" s="49"/>
      <c r="C731" s="58"/>
      <c r="D731" s="59"/>
      <c r="E731" s="61"/>
      <c r="F731" s="60"/>
      <c r="G731" s="60"/>
      <c r="H731" s="49"/>
      <c r="I731" s="49"/>
      <c r="J731" s="58"/>
      <c r="K731" s="58"/>
      <c r="L731" s="59"/>
      <c r="M731" s="61"/>
      <c r="N731" s="60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</row>
    <row r="732" spans="1:27" ht="18" customHeight="1">
      <c r="A732" s="50"/>
      <c r="B732" s="49"/>
      <c r="C732" s="58"/>
      <c r="D732" s="59"/>
      <c r="E732" s="61"/>
      <c r="F732" s="60"/>
      <c r="G732" s="60"/>
      <c r="H732" s="49"/>
      <c r="I732" s="49"/>
      <c r="J732" s="58"/>
      <c r="K732" s="58"/>
      <c r="L732" s="59"/>
      <c r="M732" s="61"/>
      <c r="N732" s="60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</row>
    <row r="733" spans="1:27" ht="18" customHeight="1">
      <c r="A733" s="50"/>
      <c r="B733" s="49"/>
      <c r="C733" s="58"/>
      <c r="D733" s="59"/>
      <c r="E733" s="61"/>
      <c r="F733" s="60"/>
      <c r="G733" s="60"/>
      <c r="H733" s="49"/>
      <c r="I733" s="49"/>
      <c r="J733" s="58"/>
      <c r="K733" s="58"/>
      <c r="L733" s="59"/>
      <c r="M733" s="61"/>
      <c r="N733" s="60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</row>
    <row r="734" spans="1:27" ht="18" customHeight="1">
      <c r="A734" s="50"/>
      <c r="B734" s="49"/>
      <c r="C734" s="58"/>
      <c r="D734" s="59"/>
      <c r="E734" s="61"/>
      <c r="F734" s="60"/>
      <c r="G734" s="60"/>
      <c r="H734" s="49"/>
      <c r="I734" s="49"/>
      <c r="J734" s="58"/>
      <c r="K734" s="58"/>
      <c r="L734" s="59"/>
      <c r="M734" s="61"/>
      <c r="N734" s="60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</row>
    <row r="735" spans="1:27" ht="18" customHeight="1">
      <c r="A735" s="50"/>
      <c r="B735" s="49"/>
      <c r="C735" s="58"/>
      <c r="D735" s="59"/>
      <c r="E735" s="61"/>
      <c r="F735" s="60"/>
      <c r="G735" s="60"/>
      <c r="H735" s="49"/>
      <c r="I735" s="49"/>
      <c r="J735" s="58"/>
      <c r="K735" s="58"/>
      <c r="L735" s="59"/>
      <c r="M735" s="61"/>
      <c r="N735" s="60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</row>
    <row r="736" spans="1:27" ht="18" customHeight="1">
      <c r="A736" s="50"/>
      <c r="B736" s="49"/>
      <c r="C736" s="58"/>
      <c r="D736" s="59"/>
      <c r="E736" s="61"/>
      <c r="F736" s="60"/>
      <c r="G736" s="60"/>
      <c r="H736" s="49"/>
      <c r="I736" s="49"/>
      <c r="J736" s="58"/>
      <c r="K736" s="58"/>
      <c r="L736" s="59"/>
      <c r="M736" s="61"/>
      <c r="N736" s="60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</row>
    <row r="737" spans="1:27" ht="18" customHeight="1">
      <c r="A737" s="50"/>
      <c r="B737" s="49"/>
      <c r="C737" s="58"/>
      <c r="D737" s="59"/>
      <c r="E737" s="61"/>
      <c r="F737" s="60"/>
      <c r="G737" s="60"/>
      <c r="H737" s="49"/>
      <c r="I737" s="49"/>
      <c r="J737" s="58"/>
      <c r="K737" s="58"/>
      <c r="L737" s="59"/>
      <c r="M737" s="61"/>
      <c r="N737" s="60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</row>
    <row r="738" spans="1:27" ht="18" customHeight="1">
      <c r="A738" s="50"/>
      <c r="B738" s="49"/>
      <c r="C738" s="58"/>
      <c r="D738" s="59"/>
      <c r="E738" s="61"/>
      <c r="F738" s="60"/>
      <c r="G738" s="60"/>
      <c r="H738" s="49"/>
      <c r="I738" s="49"/>
      <c r="J738" s="58"/>
      <c r="K738" s="58"/>
      <c r="L738" s="59"/>
      <c r="M738" s="61"/>
      <c r="N738" s="60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</row>
    <row r="739" spans="1:27" ht="18" customHeight="1">
      <c r="A739" s="50"/>
      <c r="B739" s="49"/>
      <c r="C739" s="58"/>
      <c r="D739" s="59"/>
      <c r="E739" s="61"/>
      <c r="F739" s="60"/>
      <c r="G739" s="60"/>
      <c r="H739" s="49"/>
      <c r="I739" s="49"/>
      <c r="J739" s="58"/>
      <c r="K739" s="58"/>
      <c r="L739" s="59"/>
      <c r="M739" s="61"/>
      <c r="N739" s="60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</row>
    <row r="740" spans="1:27" ht="18" customHeight="1">
      <c r="A740" s="50"/>
      <c r="B740" s="49"/>
      <c r="C740" s="58"/>
      <c r="D740" s="59"/>
      <c r="E740" s="61"/>
      <c r="F740" s="60"/>
      <c r="G740" s="60"/>
      <c r="H740" s="49"/>
      <c r="I740" s="49"/>
      <c r="J740" s="58"/>
      <c r="K740" s="58"/>
      <c r="L740" s="59"/>
      <c r="M740" s="61"/>
      <c r="N740" s="60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</row>
    <row r="741" spans="1:27" ht="18" customHeight="1">
      <c r="A741" s="50"/>
      <c r="B741" s="49"/>
      <c r="C741" s="58"/>
      <c r="D741" s="59"/>
      <c r="E741" s="61"/>
      <c r="F741" s="60"/>
      <c r="G741" s="60"/>
      <c r="H741" s="49"/>
      <c r="I741" s="49"/>
      <c r="J741" s="58"/>
      <c r="K741" s="58"/>
      <c r="L741" s="59"/>
      <c r="M741" s="61"/>
      <c r="N741" s="60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</row>
    <row r="742" spans="1:27" ht="18" customHeight="1">
      <c r="A742" s="50"/>
      <c r="B742" s="49"/>
      <c r="C742" s="58"/>
      <c r="D742" s="59"/>
      <c r="E742" s="61"/>
      <c r="F742" s="60"/>
      <c r="G742" s="60"/>
      <c r="H742" s="49"/>
      <c r="I742" s="49"/>
      <c r="J742" s="58"/>
      <c r="K742" s="58"/>
      <c r="L742" s="59"/>
      <c r="M742" s="61"/>
      <c r="N742" s="60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</row>
    <row r="743" spans="1:27" ht="18" customHeight="1">
      <c r="A743" s="50"/>
      <c r="B743" s="49"/>
      <c r="C743" s="58"/>
      <c r="D743" s="59"/>
      <c r="E743" s="61"/>
      <c r="F743" s="60"/>
      <c r="G743" s="60"/>
      <c r="H743" s="49"/>
      <c r="I743" s="49"/>
      <c r="J743" s="58"/>
      <c r="K743" s="58"/>
      <c r="L743" s="59"/>
      <c r="M743" s="61"/>
      <c r="N743" s="60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</row>
    <row r="744" spans="1:27" ht="18" customHeight="1">
      <c r="A744" s="50"/>
      <c r="B744" s="49"/>
      <c r="C744" s="58"/>
      <c r="D744" s="59"/>
      <c r="E744" s="61"/>
      <c r="F744" s="60"/>
      <c r="G744" s="60"/>
      <c r="H744" s="49"/>
      <c r="I744" s="49"/>
      <c r="J744" s="58"/>
      <c r="K744" s="58"/>
      <c r="L744" s="59"/>
      <c r="M744" s="61"/>
      <c r="N744" s="60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</row>
    <row r="745" spans="1:27" ht="18" customHeight="1">
      <c r="A745" s="50"/>
      <c r="B745" s="49"/>
      <c r="C745" s="58"/>
      <c r="D745" s="59"/>
      <c r="E745" s="61"/>
      <c r="F745" s="60"/>
      <c r="G745" s="60"/>
      <c r="H745" s="49"/>
      <c r="I745" s="49"/>
      <c r="J745" s="58"/>
      <c r="K745" s="58"/>
      <c r="L745" s="59"/>
      <c r="M745" s="61"/>
      <c r="N745" s="60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</row>
    <row r="746" spans="1:27" ht="18" customHeight="1">
      <c r="A746" s="50"/>
      <c r="B746" s="49"/>
      <c r="C746" s="58"/>
      <c r="D746" s="59"/>
      <c r="E746" s="61"/>
      <c r="F746" s="60"/>
      <c r="G746" s="60"/>
      <c r="H746" s="49"/>
      <c r="I746" s="49"/>
      <c r="J746" s="58"/>
      <c r="K746" s="58"/>
      <c r="L746" s="59"/>
      <c r="M746" s="61"/>
      <c r="N746" s="60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</row>
    <row r="747" spans="1:27" ht="18" customHeight="1">
      <c r="A747" s="50"/>
      <c r="B747" s="49"/>
      <c r="C747" s="58"/>
      <c r="D747" s="59"/>
      <c r="E747" s="61"/>
      <c r="F747" s="60"/>
      <c r="G747" s="60"/>
      <c r="H747" s="49"/>
      <c r="I747" s="49"/>
      <c r="J747" s="58"/>
      <c r="K747" s="58"/>
      <c r="L747" s="59"/>
      <c r="M747" s="61"/>
      <c r="N747" s="60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</row>
    <row r="748" spans="1:27" ht="18" customHeight="1">
      <c r="A748" s="50"/>
      <c r="B748" s="49"/>
      <c r="C748" s="58"/>
      <c r="D748" s="59"/>
      <c r="E748" s="61"/>
      <c r="F748" s="60"/>
      <c r="G748" s="60"/>
      <c r="H748" s="49"/>
      <c r="I748" s="49"/>
      <c r="J748" s="58"/>
      <c r="K748" s="58"/>
      <c r="L748" s="59"/>
      <c r="M748" s="61"/>
      <c r="N748" s="60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</row>
    <row r="749" spans="1:27" ht="18" customHeight="1">
      <c r="A749" s="50"/>
      <c r="B749" s="49"/>
      <c r="C749" s="58"/>
      <c r="D749" s="59"/>
      <c r="E749" s="61"/>
      <c r="F749" s="60"/>
      <c r="G749" s="60"/>
      <c r="H749" s="49"/>
      <c r="I749" s="49"/>
      <c r="J749" s="58"/>
      <c r="K749" s="58"/>
      <c r="L749" s="59"/>
      <c r="M749" s="61"/>
      <c r="N749" s="60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</row>
    <row r="750" spans="1:27" ht="18" customHeight="1">
      <c r="A750" s="50"/>
      <c r="B750" s="49"/>
      <c r="C750" s="58"/>
      <c r="D750" s="59"/>
      <c r="E750" s="61"/>
      <c r="F750" s="60"/>
      <c r="G750" s="60"/>
      <c r="H750" s="49"/>
      <c r="I750" s="49"/>
      <c r="J750" s="58"/>
      <c r="K750" s="58"/>
      <c r="L750" s="59"/>
      <c r="M750" s="61"/>
      <c r="N750" s="60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</row>
    <row r="751" spans="1:27" ht="18" customHeight="1">
      <c r="A751" s="50"/>
      <c r="B751" s="49"/>
      <c r="C751" s="58"/>
      <c r="D751" s="59"/>
      <c r="E751" s="61"/>
      <c r="F751" s="60"/>
      <c r="G751" s="60"/>
      <c r="H751" s="49"/>
      <c r="I751" s="49"/>
      <c r="J751" s="58"/>
      <c r="K751" s="58"/>
      <c r="L751" s="59"/>
      <c r="M751" s="61"/>
      <c r="N751" s="60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</row>
    <row r="752" spans="1:27" ht="18" customHeight="1">
      <c r="A752" s="50"/>
      <c r="B752" s="49"/>
      <c r="C752" s="58"/>
      <c r="D752" s="59"/>
      <c r="E752" s="61"/>
      <c r="F752" s="60"/>
      <c r="G752" s="60"/>
      <c r="H752" s="49"/>
      <c r="I752" s="49"/>
      <c r="J752" s="58"/>
      <c r="K752" s="58"/>
      <c r="L752" s="59"/>
      <c r="M752" s="61"/>
      <c r="N752" s="60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</row>
    <row r="753" spans="1:27" ht="18" customHeight="1">
      <c r="A753" s="50"/>
      <c r="B753" s="49"/>
      <c r="C753" s="58"/>
      <c r="D753" s="59"/>
      <c r="E753" s="61"/>
      <c r="F753" s="60"/>
      <c r="G753" s="60"/>
      <c r="H753" s="49"/>
      <c r="I753" s="49"/>
      <c r="J753" s="58"/>
      <c r="K753" s="58"/>
      <c r="L753" s="59"/>
      <c r="M753" s="61"/>
      <c r="N753" s="60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</row>
    <row r="754" spans="1:27" ht="18" customHeight="1">
      <c r="A754" s="50"/>
      <c r="B754" s="49"/>
      <c r="C754" s="58"/>
      <c r="D754" s="59"/>
      <c r="E754" s="61"/>
      <c r="F754" s="60"/>
      <c r="G754" s="60"/>
      <c r="H754" s="49"/>
      <c r="I754" s="49"/>
      <c r="J754" s="58"/>
      <c r="K754" s="58"/>
      <c r="L754" s="59"/>
      <c r="M754" s="61"/>
      <c r="N754" s="60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</row>
    <row r="755" spans="1:27" ht="18" customHeight="1">
      <c r="A755" s="50"/>
      <c r="B755" s="49"/>
      <c r="C755" s="58"/>
      <c r="D755" s="59"/>
      <c r="E755" s="61"/>
      <c r="F755" s="60"/>
      <c r="G755" s="60"/>
      <c r="H755" s="49"/>
      <c r="I755" s="49"/>
      <c r="J755" s="58"/>
      <c r="K755" s="58"/>
      <c r="L755" s="59"/>
      <c r="M755" s="61"/>
      <c r="N755" s="60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</row>
    <row r="756" spans="1:27" ht="18" customHeight="1">
      <c r="A756" s="50"/>
      <c r="B756" s="49"/>
      <c r="C756" s="58"/>
      <c r="D756" s="59"/>
      <c r="E756" s="61"/>
      <c r="F756" s="60"/>
      <c r="G756" s="60"/>
      <c r="H756" s="49"/>
      <c r="I756" s="49"/>
      <c r="J756" s="58"/>
      <c r="K756" s="58"/>
      <c r="L756" s="59"/>
      <c r="M756" s="61"/>
      <c r="N756" s="60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</row>
    <row r="757" spans="1:27" ht="18" customHeight="1">
      <c r="A757" s="50"/>
      <c r="B757" s="49"/>
      <c r="C757" s="58"/>
      <c r="D757" s="59"/>
      <c r="E757" s="61"/>
      <c r="F757" s="60"/>
      <c r="G757" s="60"/>
      <c r="H757" s="49"/>
      <c r="I757" s="49"/>
      <c r="J757" s="58"/>
      <c r="K757" s="58"/>
      <c r="L757" s="59"/>
      <c r="M757" s="61"/>
      <c r="N757" s="60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</row>
    <row r="758" spans="1:27" ht="18" customHeight="1">
      <c r="A758" s="50"/>
      <c r="B758" s="49"/>
      <c r="C758" s="58"/>
      <c r="D758" s="59"/>
      <c r="E758" s="61"/>
      <c r="F758" s="60"/>
      <c r="G758" s="60"/>
      <c r="H758" s="49"/>
      <c r="I758" s="49"/>
      <c r="J758" s="58"/>
      <c r="K758" s="58"/>
      <c r="L758" s="59"/>
      <c r="M758" s="61"/>
      <c r="N758" s="60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</row>
    <row r="759" spans="1:27" ht="18" customHeight="1">
      <c r="A759" s="50"/>
      <c r="B759" s="49"/>
      <c r="C759" s="58"/>
      <c r="D759" s="59"/>
      <c r="E759" s="61"/>
      <c r="F759" s="60"/>
      <c r="G759" s="60"/>
      <c r="H759" s="49"/>
      <c r="I759" s="49"/>
      <c r="J759" s="58"/>
      <c r="K759" s="58"/>
      <c r="L759" s="59"/>
      <c r="M759" s="61"/>
      <c r="N759" s="60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</row>
    <row r="760" spans="1:27" ht="18" customHeight="1">
      <c r="A760" s="50"/>
      <c r="B760" s="49"/>
      <c r="C760" s="58"/>
      <c r="D760" s="59"/>
      <c r="E760" s="61"/>
      <c r="F760" s="60"/>
      <c r="G760" s="60"/>
      <c r="H760" s="49"/>
      <c r="I760" s="49"/>
      <c r="J760" s="58"/>
      <c r="K760" s="58"/>
      <c r="L760" s="59"/>
      <c r="M760" s="61"/>
      <c r="N760" s="60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</row>
    <row r="761" spans="1:27" ht="18" customHeight="1">
      <c r="A761" s="50"/>
      <c r="B761" s="49"/>
      <c r="C761" s="58"/>
      <c r="D761" s="59"/>
      <c r="E761" s="61"/>
      <c r="F761" s="60"/>
      <c r="G761" s="60"/>
      <c r="H761" s="49"/>
      <c r="I761" s="49"/>
      <c r="J761" s="58"/>
      <c r="K761" s="58"/>
      <c r="L761" s="59"/>
      <c r="M761" s="61"/>
      <c r="N761" s="60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</row>
    <row r="762" spans="1:27" ht="18" customHeight="1">
      <c r="A762" s="50"/>
      <c r="B762" s="49"/>
      <c r="C762" s="58"/>
      <c r="D762" s="59"/>
      <c r="E762" s="61"/>
      <c r="F762" s="60"/>
      <c r="G762" s="60"/>
      <c r="H762" s="49"/>
      <c r="I762" s="49"/>
      <c r="J762" s="58"/>
      <c r="K762" s="58"/>
      <c r="L762" s="59"/>
      <c r="M762" s="61"/>
      <c r="N762" s="60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</row>
    <row r="763" spans="1:27" ht="18" customHeight="1">
      <c r="A763" s="50"/>
      <c r="B763" s="49"/>
      <c r="C763" s="58"/>
      <c r="D763" s="59"/>
      <c r="E763" s="61"/>
      <c r="F763" s="60"/>
      <c r="G763" s="60"/>
      <c r="H763" s="49"/>
      <c r="I763" s="49"/>
      <c r="J763" s="58"/>
      <c r="K763" s="58"/>
      <c r="L763" s="59"/>
      <c r="M763" s="61"/>
      <c r="N763" s="60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</row>
    <row r="764" spans="1:27" ht="18" customHeight="1">
      <c r="A764" s="50"/>
      <c r="B764" s="49"/>
      <c r="C764" s="58"/>
      <c r="D764" s="59"/>
      <c r="E764" s="61"/>
      <c r="F764" s="60"/>
      <c r="G764" s="60"/>
      <c r="H764" s="49"/>
      <c r="I764" s="49"/>
      <c r="J764" s="58"/>
      <c r="K764" s="58"/>
      <c r="L764" s="59"/>
      <c r="M764" s="61"/>
      <c r="N764" s="60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</row>
    <row r="765" spans="1:27" ht="18" customHeight="1">
      <c r="A765" s="50"/>
      <c r="B765" s="49"/>
      <c r="C765" s="58"/>
      <c r="D765" s="59"/>
      <c r="E765" s="61"/>
      <c r="F765" s="60"/>
      <c r="G765" s="60"/>
      <c r="H765" s="49"/>
      <c r="I765" s="49"/>
      <c r="J765" s="58"/>
      <c r="K765" s="58"/>
      <c r="L765" s="59"/>
      <c r="M765" s="61"/>
      <c r="N765" s="60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</row>
    <row r="766" spans="1:27" ht="18" customHeight="1">
      <c r="A766" s="50"/>
      <c r="B766" s="49"/>
      <c r="C766" s="58"/>
      <c r="D766" s="59"/>
      <c r="E766" s="61"/>
      <c r="F766" s="60"/>
      <c r="G766" s="60"/>
      <c r="H766" s="49"/>
      <c r="I766" s="49"/>
      <c r="J766" s="58"/>
      <c r="K766" s="58"/>
      <c r="L766" s="59"/>
      <c r="M766" s="61"/>
      <c r="N766" s="60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</row>
    <row r="767" spans="1:27" ht="18" customHeight="1">
      <c r="A767" s="50"/>
      <c r="B767" s="49"/>
      <c r="C767" s="58"/>
      <c r="D767" s="59"/>
      <c r="E767" s="61"/>
      <c r="F767" s="60"/>
      <c r="G767" s="60"/>
      <c r="H767" s="49"/>
      <c r="I767" s="49"/>
      <c r="J767" s="58"/>
      <c r="K767" s="58"/>
      <c r="L767" s="59"/>
      <c r="M767" s="61"/>
      <c r="N767" s="60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</row>
    <row r="768" spans="1:27" ht="18" customHeight="1">
      <c r="A768" s="50"/>
      <c r="B768" s="49"/>
      <c r="C768" s="58"/>
      <c r="D768" s="59"/>
      <c r="E768" s="61"/>
      <c r="F768" s="60"/>
      <c r="G768" s="60"/>
      <c r="H768" s="49"/>
      <c r="I768" s="49"/>
      <c r="J768" s="58"/>
      <c r="K768" s="58"/>
      <c r="L768" s="59"/>
      <c r="M768" s="61"/>
      <c r="N768" s="60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</row>
    <row r="769" spans="1:27" ht="18" customHeight="1">
      <c r="A769" s="50"/>
      <c r="B769" s="49"/>
      <c r="C769" s="58"/>
      <c r="D769" s="59"/>
      <c r="E769" s="61"/>
      <c r="F769" s="60"/>
      <c r="G769" s="60"/>
      <c r="H769" s="49"/>
      <c r="I769" s="49"/>
      <c r="J769" s="58"/>
      <c r="K769" s="58"/>
      <c r="L769" s="59"/>
      <c r="M769" s="61"/>
      <c r="N769" s="60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</row>
    <row r="770" spans="1:27" ht="18" customHeight="1">
      <c r="A770" s="50"/>
      <c r="B770" s="49"/>
      <c r="C770" s="58"/>
      <c r="D770" s="59"/>
      <c r="E770" s="61"/>
      <c r="F770" s="60"/>
      <c r="G770" s="60"/>
      <c r="H770" s="49"/>
      <c r="I770" s="49"/>
      <c r="J770" s="58"/>
      <c r="K770" s="58"/>
      <c r="L770" s="59"/>
      <c r="M770" s="61"/>
      <c r="N770" s="60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</row>
    <row r="771" spans="1:27" ht="18" customHeight="1">
      <c r="A771" s="50"/>
      <c r="B771" s="49"/>
      <c r="C771" s="58"/>
      <c r="D771" s="59"/>
      <c r="E771" s="61"/>
      <c r="F771" s="60"/>
      <c r="G771" s="60"/>
      <c r="H771" s="49"/>
      <c r="I771" s="49"/>
      <c r="J771" s="58"/>
      <c r="K771" s="58"/>
      <c r="L771" s="59"/>
      <c r="M771" s="61"/>
      <c r="N771" s="60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</row>
    <row r="772" spans="1:27" ht="18" customHeight="1">
      <c r="A772" s="50"/>
      <c r="B772" s="49"/>
      <c r="C772" s="58"/>
      <c r="D772" s="59"/>
      <c r="E772" s="61"/>
      <c r="F772" s="60"/>
      <c r="G772" s="60"/>
      <c r="H772" s="49"/>
      <c r="I772" s="49"/>
      <c r="J772" s="58"/>
      <c r="K772" s="58"/>
      <c r="L772" s="59"/>
      <c r="M772" s="61"/>
      <c r="N772" s="60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</row>
    <row r="773" spans="1:27" ht="18" customHeight="1">
      <c r="A773" s="50"/>
      <c r="B773" s="49"/>
      <c r="C773" s="58"/>
      <c r="D773" s="59"/>
      <c r="E773" s="61"/>
      <c r="F773" s="60"/>
      <c r="G773" s="60"/>
      <c r="H773" s="49"/>
      <c r="I773" s="49"/>
      <c r="J773" s="58"/>
      <c r="K773" s="58"/>
      <c r="L773" s="59"/>
      <c r="M773" s="61"/>
      <c r="N773" s="60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</row>
    <row r="774" spans="1:27" ht="18" customHeight="1">
      <c r="A774" s="50"/>
      <c r="B774" s="49"/>
      <c r="C774" s="58"/>
      <c r="D774" s="59"/>
      <c r="E774" s="61"/>
      <c r="F774" s="60"/>
      <c r="G774" s="60"/>
      <c r="H774" s="49"/>
      <c r="I774" s="49"/>
      <c r="J774" s="58"/>
      <c r="K774" s="58"/>
      <c r="L774" s="59"/>
      <c r="M774" s="61"/>
      <c r="N774" s="60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</row>
    <row r="775" spans="1:27" ht="18" customHeight="1">
      <c r="A775" s="50"/>
      <c r="B775" s="49"/>
      <c r="C775" s="58"/>
      <c r="D775" s="59"/>
      <c r="E775" s="61"/>
      <c r="F775" s="60"/>
      <c r="G775" s="60"/>
      <c r="H775" s="49"/>
      <c r="I775" s="49"/>
      <c r="J775" s="58"/>
      <c r="K775" s="58"/>
      <c r="L775" s="59"/>
      <c r="M775" s="61"/>
      <c r="N775" s="60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</row>
    <row r="776" spans="1:27" ht="18" customHeight="1">
      <c r="A776" s="50"/>
      <c r="B776" s="49"/>
      <c r="C776" s="58"/>
      <c r="D776" s="59"/>
      <c r="E776" s="61"/>
      <c r="F776" s="60"/>
      <c r="G776" s="60"/>
      <c r="H776" s="49"/>
      <c r="I776" s="49"/>
      <c r="J776" s="58"/>
      <c r="K776" s="58"/>
      <c r="L776" s="59"/>
      <c r="M776" s="61"/>
      <c r="N776" s="60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</row>
    <row r="777" spans="1:27" ht="18" customHeight="1">
      <c r="A777" s="50"/>
      <c r="B777" s="49"/>
      <c r="C777" s="58"/>
      <c r="D777" s="59"/>
      <c r="E777" s="61"/>
      <c r="F777" s="60"/>
      <c r="G777" s="60"/>
      <c r="H777" s="49"/>
      <c r="I777" s="49"/>
      <c r="J777" s="58"/>
      <c r="K777" s="58"/>
      <c r="L777" s="59"/>
      <c r="M777" s="61"/>
      <c r="N777" s="60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</row>
    <row r="778" spans="1:27" ht="18" customHeight="1">
      <c r="A778" s="50"/>
      <c r="B778" s="49"/>
      <c r="C778" s="58"/>
      <c r="D778" s="59"/>
      <c r="E778" s="61"/>
      <c r="F778" s="60"/>
      <c r="G778" s="60"/>
      <c r="H778" s="49"/>
      <c r="I778" s="49"/>
      <c r="J778" s="58"/>
      <c r="K778" s="58"/>
      <c r="L778" s="59"/>
      <c r="M778" s="61"/>
      <c r="N778" s="60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</row>
    <row r="779" spans="1:27" ht="18" customHeight="1">
      <c r="A779" s="50"/>
      <c r="B779" s="49"/>
      <c r="C779" s="58"/>
      <c r="D779" s="59"/>
      <c r="E779" s="61"/>
      <c r="F779" s="60"/>
      <c r="G779" s="60"/>
      <c r="H779" s="49"/>
      <c r="I779" s="49"/>
      <c r="J779" s="58"/>
      <c r="K779" s="58"/>
      <c r="L779" s="59"/>
      <c r="M779" s="61"/>
      <c r="N779" s="60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</row>
    <row r="780" spans="1:27" ht="18" customHeight="1">
      <c r="A780" s="50"/>
      <c r="B780" s="49"/>
      <c r="C780" s="58"/>
      <c r="D780" s="59"/>
      <c r="E780" s="61"/>
      <c r="F780" s="60"/>
      <c r="G780" s="60"/>
      <c r="H780" s="49"/>
      <c r="I780" s="49"/>
      <c r="J780" s="58"/>
      <c r="K780" s="58"/>
      <c r="L780" s="59"/>
      <c r="M780" s="61"/>
      <c r="N780" s="60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</row>
    <row r="781" spans="1:27" ht="18" customHeight="1">
      <c r="A781" s="50"/>
      <c r="B781" s="49"/>
      <c r="C781" s="58"/>
      <c r="D781" s="59"/>
      <c r="E781" s="61"/>
      <c r="F781" s="60"/>
      <c r="G781" s="60"/>
      <c r="H781" s="49"/>
      <c r="I781" s="49"/>
      <c r="J781" s="58"/>
      <c r="K781" s="58"/>
      <c r="L781" s="59"/>
      <c r="M781" s="61"/>
      <c r="N781" s="60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</row>
    <row r="782" spans="1:27" ht="18" customHeight="1">
      <c r="A782" s="50"/>
      <c r="B782" s="49"/>
      <c r="C782" s="58"/>
      <c r="D782" s="59"/>
      <c r="E782" s="61"/>
      <c r="F782" s="60"/>
      <c r="G782" s="60"/>
      <c r="H782" s="49"/>
      <c r="I782" s="49"/>
      <c r="J782" s="58"/>
      <c r="K782" s="58"/>
      <c r="L782" s="59"/>
      <c r="M782" s="61"/>
      <c r="N782" s="60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</row>
    <row r="783" spans="1:27" ht="18" customHeight="1">
      <c r="A783" s="50"/>
      <c r="B783" s="49"/>
      <c r="C783" s="58"/>
      <c r="D783" s="59"/>
      <c r="E783" s="61"/>
      <c r="F783" s="60"/>
      <c r="G783" s="60"/>
      <c r="H783" s="49"/>
      <c r="I783" s="49"/>
      <c r="J783" s="58"/>
      <c r="K783" s="58"/>
      <c r="L783" s="59"/>
      <c r="M783" s="61"/>
      <c r="N783" s="60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</row>
    <row r="784" spans="1:27" ht="18" customHeight="1">
      <c r="A784" s="50"/>
      <c r="B784" s="49"/>
      <c r="C784" s="58"/>
      <c r="D784" s="59"/>
      <c r="E784" s="61"/>
      <c r="F784" s="60"/>
      <c r="G784" s="60"/>
      <c r="H784" s="49"/>
      <c r="I784" s="49"/>
      <c r="J784" s="58"/>
      <c r="K784" s="58"/>
      <c r="L784" s="59"/>
      <c r="M784" s="61"/>
      <c r="N784" s="60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</row>
    <row r="785" spans="1:27" ht="18" customHeight="1">
      <c r="A785" s="50"/>
      <c r="B785" s="49"/>
      <c r="C785" s="58"/>
      <c r="D785" s="59"/>
      <c r="E785" s="61"/>
      <c r="F785" s="60"/>
      <c r="G785" s="60"/>
      <c r="H785" s="49"/>
      <c r="I785" s="49"/>
      <c r="J785" s="58"/>
      <c r="K785" s="58"/>
      <c r="L785" s="59"/>
      <c r="M785" s="61"/>
      <c r="N785" s="60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</row>
    <row r="786" spans="1:27" ht="18" customHeight="1">
      <c r="A786" s="50"/>
      <c r="B786" s="49"/>
      <c r="C786" s="58"/>
      <c r="D786" s="59"/>
      <c r="E786" s="61"/>
      <c r="F786" s="60"/>
      <c r="G786" s="60"/>
      <c r="H786" s="49"/>
      <c r="I786" s="49"/>
      <c r="J786" s="58"/>
      <c r="K786" s="58"/>
      <c r="L786" s="59"/>
      <c r="M786" s="61"/>
      <c r="N786" s="60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</row>
    <row r="787" spans="1:27" ht="18" customHeight="1">
      <c r="A787" s="50"/>
      <c r="B787" s="49"/>
      <c r="C787" s="58"/>
      <c r="D787" s="59"/>
      <c r="E787" s="61"/>
      <c r="F787" s="60"/>
      <c r="G787" s="60"/>
      <c r="H787" s="49"/>
      <c r="I787" s="49"/>
      <c r="J787" s="58"/>
      <c r="K787" s="58"/>
      <c r="L787" s="59"/>
      <c r="M787" s="61"/>
      <c r="N787" s="60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</row>
    <row r="788" spans="1:27" ht="18" customHeight="1">
      <c r="A788" s="50"/>
      <c r="B788" s="49"/>
      <c r="C788" s="58"/>
      <c r="D788" s="59"/>
      <c r="E788" s="61"/>
      <c r="F788" s="60"/>
      <c r="G788" s="60"/>
      <c r="H788" s="49"/>
      <c r="I788" s="49"/>
      <c r="J788" s="58"/>
      <c r="K788" s="58"/>
      <c r="L788" s="59"/>
      <c r="M788" s="61"/>
      <c r="N788" s="60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</row>
    <row r="789" spans="1:27" ht="18" customHeight="1">
      <c r="A789" s="50"/>
      <c r="B789" s="49"/>
      <c r="C789" s="58"/>
      <c r="D789" s="59"/>
      <c r="E789" s="61"/>
      <c r="F789" s="60"/>
      <c r="G789" s="60"/>
      <c r="H789" s="49"/>
      <c r="I789" s="49"/>
      <c r="J789" s="58"/>
      <c r="K789" s="58"/>
      <c r="L789" s="59"/>
      <c r="M789" s="61"/>
      <c r="N789" s="60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</row>
    <row r="790" spans="1:27" ht="18" customHeight="1">
      <c r="A790" s="50"/>
      <c r="B790" s="49"/>
      <c r="C790" s="58"/>
      <c r="D790" s="59"/>
      <c r="E790" s="61"/>
      <c r="F790" s="60"/>
      <c r="G790" s="60"/>
      <c r="H790" s="49"/>
      <c r="I790" s="49"/>
      <c r="J790" s="58"/>
      <c r="K790" s="58"/>
      <c r="L790" s="59"/>
      <c r="M790" s="61"/>
      <c r="N790" s="60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</row>
    <row r="791" spans="1:27" ht="18" customHeight="1">
      <c r="A791" s="50"/>
      <c r="B791" s="49"/>
      <c r="C791" s="58"/>
      <c r="D791" s="59"/>
      <c r="E791" s="61"/>
      <c r="F791" s="60"/>
      <c r="G791" s="60"/>
      <c r="H791" s="49"/>
      <c r="I791" s="49"/>
      <c r="J791" s="58"/>
      <c r="K791" s="58"/>
      <c r="L791" s="59"/>
      <c r="M791" s="61"/>
      <c r="N791" s="60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</row>
    <row r="792" spans="1:27" ht="18" customHeight="1">
      <c r="A792" s="50"/>
      <c r="B792" s="49"/>
      <c r="C792" s="58"/>
      <c r="D792" s="59"/>
      <c r="E792" s="61"/>
      <c r="F792" s="60"/>
      <c r="G792" s="60"/>
      <c r="H792" s="49"/>
      <c r="I792" s="49"/>
      <c r="J792" s="58"/>
      <c r="K792" s="58"/>
      <c r="L792" s="59"/>
      <c r="M792" s="61"/>
      <c r="N792" s="60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</row>
    <row r="793" spans="1:27" ht="18" customHeight="1">
      <c r="A793" s="50"/>
      <c r="B793" s="49"/>
      <c r="C793" s="58"/>
      <c r="D793" s="59"/>
      <c r="E793" s="61"/>
      <c r="F793" s="60"/>
      <c r="G793" s="60"/>
      <c r="H793" s="49"/>
      <c r="I793" s="49"/>
      <c r="J793" s="58"/>
      <c r="K793" s="58"/>
      <c r="L793" s="59"/>
      <c r="M793" s="61"/>
      <c r="N793" s="60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</row>
    <row r="794" spans="1:27" ht="18" customHeight="1">
      <c r="A794" s="50"/>
      <c r="B794" s="49"/>
      <c r="C794" s="58"/>
      <c r="D794" s="59"/>
      <c r="E794" s="61"/>
      <c r="F794" s="60"/>
      <c r="G794" s="60"/>
      <c r="H794" s="49"/>
      <c r="I794" s="49"/>
      <c r="J794" s="58"/>
      <c r="K794" s="58"/>
      <c r="L794" s="59"/>
      <c r="M794" s="61"/>
      <c r="N794" s="60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</row>
    <row r="795" spans="1:27" ht="18" customHeight="1">
      <c r="A795" s="50"/>
      <c r="B795" s="49"/>
      <c r="C795" s="58"/>
      <c r="D795" s="59"/>
      <c r="E795" s="61"/>
      <c r="F795" s="60"/>
      <c r="G795" s="60"/>
      <c r="H795" s="49"/>
      <c r="I795" s="49"/>
      <c r="J795" s="58"/>
      <c r="K795" s="58"/>
      <c r="L795" s="59"/>
      <c r="M795" s="61"/>
      <c r="N795" s="60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</row>
    <row r="796" spans="1:27" ht="18" customHeight="1">
      <c r="A796" s="50"/>
      <c r="B796" s="49"/>
      <c r="C796" s="58"/>
      <c r="D796" s="59"/>
      <c r="E796" s="61"/>
      <c r="F796" s="60"/>
      <c r="G796" s="60"/>
      <c r="H796" s="49"/>
      <c r="I796" s="49"/>
      <c r="J796" s="58"/>
      <c r="K796" s="58"/>
      <c r="L796" s="59"/>
      <c r="M796" s="61"/>
      <c r="N796" s="60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</row>
    <row r="797" spans="1:27" ht="18" customHeight="1">
      <c r="A797" s="50"/>
      <c r="B797" s="49"/>
      <c r="C797" s="58"/>
      <c r="D797" s="59"/>
      <c r="E797" s="61"/>
      <c r="F797" s="60"/>
      <c r="G797" s="60"/>
      <c r="H797" s="49"/>
      <c r="I797" s="49"/>
      <c r="J797" s="58"/>
      <c r="K797" s="58"/>
      <c r="L797" s="59"/>
      <c r="M797" s="61"/>
      <c r="N797" s="60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</row>
    <row r="798" spans="1:27" ht="18" customHeight="1">
      <c r="A798" s="50"/>
      <c r="B798" s="49"/>
      <c r="C798" s="58"/>
      <c r="D798" s="59"/>
      <c r="E798" s="61"/>
      <c r="F798" s="60"/>
      <c r="G798" s="60"/>
      <c r="H798" s="49"/>
      <c r="I798" s="49"/>
      <c r="J798" s="58"/>
      <c r="K798" s="58"/>
      <c r="L798" s="59"/>
      <c r="M798" s="61"/>
      <c r="N798" s="60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</row>
    <row r="799" spans="1:27" ht="18" customHeight="1">
      <c r="A799" s="50"/>
      <c r="B799" s="49"/>
      <c r="C799" s="58"/>
      <c r="D799" s="59"/>
      <c r="E799" s="61"/>
      <c r="F799" s="60"/>
      <c r="G799" s="60"/>
      <c r="H799" s="49"/>
      <c r="I799" s="49"/>
      <c r="J799" s="58"/>
      <c r="K799" s="58"/>
      <c r="L799" s="59"/>
      <c r="M799" s="61"/>
      <c r="N799" s="60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</row>
    <row r="800" spans="1:27" ht="18" customHeight="1">
      <c r="A800" s="50"/>
      <c r="B800" s="49"/>
      <c r="C800" s="58"/>
      <c r="D800" s="59"/>
      <c r="E800" s="61"/>
      <c r="F800" s="60"/>
      <c r="G800" s="60"/>
      <c r="H800" s="49"/>
      <c r="I800" s="49"/>
      <c r="J800" s="58"/>
      <c r="K800" s="58"/>
      <c r="L800" s="59"/>
      <c r="M800" s="61"/>
      <c r="N800" s="60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</row>
    <row r="801" spans="1:27" ht="18" customHeight="1">
      <c r="A801" s="50"/>
      <c r="B801" s="49"/>
      <c r="C801" s="58"/>
      <c r="D801" s="59"/>
      <c r="E801" s="61"/>
      <c r="F801" s="60"/>
      <c r="G801" s="60"/>
      <c r="H801" s="49"/>
      <c r="I801" s="49"/>
      <c r="J801" s="58"/>
      <c r="K801" s="58"/>
      <c r="L801" s="59"/>
      <c r="M801" s="61"/>
      <c r="N801" s="60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</row>
    <row r="802" spans="1:27" ht="18" customHeight="1">
      <c r="A802" s="50"/>
      <c r="B802" s="49"/>
      <c r="C802" s="58"/>
      <c r="D802" s="59"/>
      <c r="E802" s="61"/>
      <c r="F802" s="60"/>
      <c r="G802" s="60"/>
      <c r="H802" s="49"/>
      <c r="I802" s="49"/>
      <c r="J802" s="58"/>
      <c r="K802" s="58"/>
      <c r="L802" s="59"/>
      <c r="M802" s="61"/>
      <c r="N802" s="60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</row>
    <row r="803" spans="1:27" ht="18" customHeight="1">
      <c r="A803" s="50"/>
      <c r="B803" s="49"/>
      <c r="C803" s="58"/>
      <c r="D803" s="59"/>
      <c r="E803" s="61"/>
      <c r="F803" s="60"/>
      <c r="G803" s="60"/>
      <c r="H803" s="49"/>
      <c r="I803" s="49"/>
      <c r="J803" s="58"/>
      <c r="K803" s="58"/>
      <c r="L803" s="59"/>
      <c r="M803" s="61"/>
      <c r="N803" s="60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</row>
    <row r="804" spans="1:27" ht="18" customHeight="1">
      <c r="A804" s="50"/>
      <c r="B804" s="49"/>
      <c r="C804" s="58"/>
      <c r="D804" s="59"/>
      <c r="E804" s="61"/>
      <c r="F804" s="60"/>
      <c r="G804" s="60"/>
      <c r="H804" s="49"/>
      <c r="I804" s="49"/>
      <c r="J804" s="58"/>
      <c r="K804" s="58"/>
      <c r="L804" s="59"/>
      <c r="M804" s="61"/>
      <c r="N804" s="60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</row>
    <row r="805" spans="1:27" ht="18" customHeight="1">
      <c r="A805" s="50"/>
      <c r="B805" s="49"/>
      <c r="C805" s="58"/>
      <c r="D805" s="59"/>
      <c r="E805" s="61"/>
      <c r="F805" s="60"/>
      <c r="G805" s="60"/>
      <c r="H805" s="49"/>
      <c r="I805" s="49"/>
      <c r="J805" s="58"/>
      <c r="K805" s="58"/>
      <c r="L805" s="59"/>
      <c r="M805" s="61"/>
      <c r="N805" s="60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</row>
    <row r="806" spans="1:27" ht="18" customHeight="1">
      <c r="A806" s="50"/>
      <c r="B806" s="49"/>
      <c r="C806" s="58"/>
      <c r="D806" s="59"/>
      <c r="E806" s="61"/>
      <c r="F806" s="60"/>
      <c r="G806" s="60"/>
      <c r="H806" s="49"/>
      <c r="I806" s="49"/>
      <c r="J806" s="58"/>
      <c r="K806" s="58"/>
      <c r="L806" s="59"/>
      <c r="M806" s="61"/>
      <c r="N806" s="60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</row>
    <row r="807" spans="1:27" ht="18" customHeight="1">
      <c r="A807" s="50"/>
      <c r="B807" s="49"/>
      <c r="C807" s="58"/>
      <c r="D807" s="59"/>
      <c r="E807" s="61"/>
      <c r="F807" s="60"/>
      <c r="G807" s="60"/>
      <c r="H807" s="49"/>
      <c r="I807" s="49"/>
      <c r="J807" s="58"/>
      <c r="K807" s="58"/>
      <c r="L807" s="59"/>
      <c r="M807" s="61"/>
      <c r="N807" s="60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</row>
    <row r="808" spans="1:27" ht="18" customHeight="1">
      <c r="A808" s="50"/>
      <c r="B808" s="49"/>
      <c r="C808" s="58"/>
      <c r="D808" s="59"/>
      <c r="E808" s="61"/>
      <c r="F808" s="60"/>
      <c r="G808" s="60"/>
      <c r="H808" s="49"/>
      <c r="I808" s="49"/>
      <c r="J808" s="58"/>
      <c r="K808" s="58"/>
      <c r="L808" s="59"/>
      <c r="M808" s="61"/>
      <c r="N808" s="60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</row>
    <row r="809" spans="1:27" ht="18" customHeight="1">
      <c r="A809" s="50"/>
      <c r="B809" s="49"/>
      <c r="C809" s="58"/>
      <c r="D809" s="59"/>
      <c r="E809" s="61"/>
      <c r="F809" s="60"/>
      <c r="G809" s="60"/>
      <c r="H809" s="49"/>
      <c r="I809" s="49"/>
      <c r="J809" s="58"/>
      <c r="K809" s="58"/>
      <c r="L809" s="59"/>
      <c r="M809" s="61"/>
      <c r="N809" s="60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</row>
    <row r="810" spans="1:27" ht="18" customHeight="1">
      <c r="A810" s="50"/>
      <c r="B810" s="49"/>
      <c r="C810" s="58"/>
      <c r="D810" s="59"/>
      <c r="E810" s="61"/>
      <c r="F810" s="60"/>
      <c r="G810" s="60"/>
      <c r="H810" s="49"/>
      <c r="I810" s="49"/>
      <c r="J810" s="58"/>
      <c r="K810" s="58"/>
      <c r="L810" s="59"/>
      <c r="M810" s="61"/>
      <c r="N810" s="60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</row>
    <row r="811" spans="1:27" ht="18" customHeight="1">
      <c r="A811" s="50"/>
      <c r="B811" s="49"/>
      <c r="C811" s="58"/>
      <c r="D811" s="59"/>
      <c r="E811" s="61"/>
      <c r="F811" s="60"/>
      <c r="G811" s="60"/>
      <c r="H811" s="49"/>
      <c r="I811" s="49"/>
      <c r="J811" s="58"/>
      <c r="K811" s="58"/>
      <c r="L811" s="59"/>
      <c r="M811" s="61"/>
      <c r="N811" s="60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</row>
    <row r="812" spans="1:27" ht="18" customHeight="1">
      <c r="A812" s="50"/>
      <c r="B812" s="49"/>
      <c r="C812" s="58"/>
      <c r="D812" s="59"/>
      <c r="E812" s="61"/>
      <c r="F812" s="60"/>
      <c r="G812" s="60"/>
      <c r="H812" s="49"/>
      <c r="I812" s="49"/>
      <c r="J812" s="58"/>
      <c r="K812" s="58"/>
      <c r="L812" s="59"/>
      <c r="M812" s="61"/>
      <c r="N812" s="60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</row>
    <row r="813" spans="1:27" ht="18" customHeight="1">
      <c r="A813" s="50"/>
      <c r="B813" s="49"/>
      <c r="C813" s="58"/>
      <c r="D813" s="59"/>
      <c r="E813" s="61"/>
      <c r="F813" s="60"/>
      <c r="G813" s="60"/>
      <c r="H813" s="49"/>
      <c r="I813" s="49"/>
      <c r="J813" s="58"/>
      <c r="K813" s="58"/>
      <c r="L813" s="59"/>
      <c r="M813" s="61"/>
      <c r="N813" s="60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</row>
    <row r="814" spans="1:27" ht="18" customHeight="1">
      <c r="A814" s="50"/>
      <c r="B814" s="49"/>
      <c r="C814" s="58"/>
      <c r="D814" s="59"/>
      <c r="E814" s="61"/>
      <c r="F814" s="60"/>
      <c r="G814" s="60"/>
      <c r="H814" s="49"/>
      <c r="I814" s="49"/>
      <c r="J814" s="58"/>
      <c r="K814" s="58"/>
      <c r="L814" s="59"/>
      <c r="M814" s="61"/>
      <c r="N814" s="60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</row>
    <row r="815" spans="1:27" ht="18" customHeight="1">
      <c r="A815" s="50"/>
      <c r="B815" s="49"/>
      <c r="C815" s="58"/>
      <c r="D815" s="59"/>
      <c r="E815" s="61"/>
      <c r="F815" s="60"/>
      <c r="G815" s="60"/>
      <c r="H815" s="49"/>
      <c r="I815" s="49"/>
      <c r="J815" s="58"/>
      <c r="K815" s="58"/>
      <c r="L815" s="59"/>
      <c r="M815" s="61"/>
      <c r="N815" s="60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</row>
    <row r="816" spans="1:27" ht="18" customHeight="1">
      <c r="A816" s="50"/>
      <c r="B816" s="49"/>
      <c r="C816" s="58"/>
      <c r="D816" s="59"/>
      <c r="E816" s="61"/>
      <c r="F816" s="60"/>
      <c r="G816" s="60"/>
      <c r="H816" s="49"/>
      <c r="I816" s="49"/>
      <c r="J816" s="58"/>
      <c r="K816" s="58"/>
      <c r="L816" s="59"/>
      <c r="M816" s="61"/>
      <c r="N816" s="60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</row>
    <row r="817" spans="1:27" ht="18" customHeight="1">
      <c r="A817" s="50"/>
      <c r="B817" s="49"/>
      <c r="C817" s="58"/>
      <c r="D817" s="59"/>
      <c r="E817" s="61"/>
      <c r="F817" s="60"/>
      <c r="G817" s="60"/>
      <c r="H817" s="49"/>
      <c r="I817" s="49"/>
      <c r="J817" s="58"/>
      <c r="K817" s="58"/>
      <c r="L817" s="59"/>
      <c r="M817" s="61"/>
      <c r="N817" s="60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</row>
    <row r="818" spans="1:27" ht="18" customHeight="1">
      <c r="A818" s="50"/>
      <c r="B818" s="49"/>
      <c r="C818" s="58"/>
      <c r="D818" s="59"/>
      <c r="E818" s="61"/>
      <c r="F818" s="60"/>
      <c r="G818" s="60"/>
      <c r="H818" s="49"/>
      <c r="I818" s="49"/>
      <c r="J818" s="58"/>
      <c r="K818" s="58"/>
      <c r="L818" s="59"/>
      <c r="M818" s="61"/>
      <c r="N818" s="60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</row>
    <row r="819" spans="1:27" ht="18" customHeight="1">
      <c r="A819" s="50"/>
      <c r="B819" s="49"/>
      <c r="C819" s="58"/>
      <c r="D819" s="59"/>
      <c r="E819" s="61"/>
      <c r="F819" s="60"/>
      <c r="G819" s="60"/>
      <c r="H819" s="49"/>
      <c r="I819" s="49"/>
      <c r="J819" s="58"/>
      <c r="K819" s="58"/>
      <c r="L819" s="59"/>
      <c r="M819" s="61"/>
      <c r="N819" s="60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</row>
    <row r="820" spans="1:27" ht="18" customHeight="1">
      <c r="A820" s="50"/>
      <c r="B820" s="49"/>
      <c r="C820" s="58"/>
      <c r="D820" s="59"/>
      <c r="E820" s="61"/>
      <c r="F820" s="60"/>
      <c r="G820" s="60"/>
      <c r="H820" s="49"/>
      <c r="I820" s="49"/>
      <c r="J820" s="58"/>
      <c r="K820" s="58"/>
      <c r="L820" s="59"/>
      <c r="M820" s="61"/>
      <c r="N820" s="60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</row>
    <row r="821" spans="1:27" ht="18" customHeight="1">
      <c r="A821" s="50"/>
      <c r="B821" s="49"/>
      <c r="C821" s="58"/>
      <c r="D821" s="59"/>
      <c r="E821" s="61"/>
      <c r="F821" s="60"/>
      <c r="G821" s="60"/>
      <c r="H821" s="49"/>
      <c r="I821" s="49"/>
      <c r="J821" s="58"/>
      <c r="K821" s="58"/>
      <c r="L821" s="59"/>
      <c r="M821" s="61"/>
      <c r="N821" s="60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</row>
    <row r="822" spans="1:27" ht="18" customHeight="1">
      <c r="A822" s="50"/>
      <c r="B822" s="49"/>
      <c r="C822" s="58"/>
      <c r="D822" s="59"/>
      <c r="E822" s="61"/>
      <c r="F822" s="60"/>
      <c r="G822" s="60"/>
      <c r="H822" s="49"/>
      <c r="I822" s="49"/>
      <c r="J822" s="58"/>
      <c r="K822" s="58"/>
      <c r="L822" s="59"/>
      <c r="M822" s="61"/>
      <c r="N822" s="60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</row>
    <row r="823" spans="1:27" ht="18" customHeight="1">
      <c r="A823" s="50"/>
      <c r="B823" s="49"/>
      <c r="C823" s="58"/>
      <c r="D823" s="59"/>
      <c r="E823" s="61"/>
      <c r="F823" s="60"/>
      <c r="G823" s="60"/>
      <c r="H823" s="49"/>
      <c r="I823" s="49"/>
      <c r="J823" s="58"/>
      <c r="K823" s="58"/>
      <c r="L823" s="59"/>
      <c r="M823" s="61"/>
      <c r="N823" s="60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</row>
    <row r="824" spans="1:27" ht="18" customHeight="1">
      <c r="A824" s="50"/>
      <c r="B824" s="49"/>
      <c r="C824" s="58"/>
      <c r="D824" s="59"/>
      <c r="E824" s="61"/>
      <c r="F824" s="60"/>
      <c r="G824" s="60"/>
      <c r="H824" s="49"/>
      <c r="I824" s="49"/>
      <c r="J824" s="58"/>
      <c r="K824" s="58"/>
      <c r="L824" s="59"/>
      <c r="M824" s="61"/>
      <c r="N824" s="60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</row>
    <row r="825" spans="1:27" ht="18" customHeight="1">
      <c r="A825" s="50"/>
      <c r="B825" s="49"/>
      <c r="C825" s="58"/>
      <c r="D825" s="59"/>
      <c r="E825" s="61"/>
      <c r="F825" s="60"/>
      <c r="G825" s="60"/>
      <c r="H825" s="49"/>
      <c r="I825" s="49"/>
      <c r="J825" s="58"/>
      <c r="K825" s="58"/>
      <c r="L825" s="59"/>
      <c r="M825" s="61"/>
      <c r="N825" s="60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</row>
    <row r="826" spans="1:27" ht="18" customHeight="1">
      <c r="A826" s="50"/>
      <c r="B826" s="49"/>
      <c r="C826" s="58"/>
      <c r="D826" s="59"/>
      <c r="E826" s="61"/>
      <c r="F826" s="60"/>
      <c r="G826" s="60"/>
      <c r="H826" s="49"/>
      <c r="I826" s="49"/>
      <c r="J826" s="58"/>
      <c r="K826" s="58"/>
      <c r="L826" s="59"/>
      <c r="M826" s="61"/>
      <c r="N826" s="60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</row>
    <row r="827" spans="1:27" ht="18" customHeight="1">
      <c r="A827" s="50"/>
      <c r="B827" s="49"/>
      <c r="C827" s="58"/>
      <c r="D827" s="59"/>
      <c r="E827" s="61"/>
      <c r="F827" s="60"/>
      <c r="G827" s="60"/>
      <c r="H827" s="49"/>
      <c r="I827" s="49"/>
      <c r="J827" s="58"/>
      <c r="K827" s="58"/>
      <c r="L827" s="59"/>
      <c r="M827" s="61"/>
      <c r="N827" s="60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</row>
    <row r="828" spans="1:27" ht="18" customHeight="1">
      <c r="A828" s="50"/>
      <c r="B828" s="49"/>
      <c r="C828" s="58"/>
      <c r="D828" s="59"/>
      <c r="E828" s="61"/>
      <c r="F828" s="60"/>
      <c r="G828" s="60"/>
      <c r="H828" s="49"/>
      <c r="I828" s="49"/>
      <c r="J828" s="58"/>
      <c r="K828" s="58"/>
      <c r="L828" s="59"/>
      <c r="M828" s="61"/>
      <c r="N828" s="60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</row>
    <row r="829" spans="1:27" ht="18" customHeight="1">
      <c r="A829" s="50"/>
      <c r="B829" s="49"/>
      <c r="C829" s="58"/>
      <c r="D829" s="59"/>
      <c r="E829" s="61"/>
      <c r="F829" s="60"/>
      <c r="G829" s="60"/>
      <c r="H829" s="49"/>
      <c r="I829" s="49"/>
      <c r="J829" s="58"/>
      <c r="K829" s="58"/>
      <c r="L829" s="59"/>
      <c r="M829" s="61"/>
      <c r="N829" s="60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</row>
    <row r="830" spans="1:27" ht="18" customHeight="1">
      <c r="A830" s="50"/>
      <c r="B830" s="49"/>
      <c r="C830" s="58"/>
      <c r="D830" s="59"/>
      <c r="E830" s="61"/>
      <c r="F830" s="60"/>
      <c r="G830" s="60"/>
      <c r="H830" s="49"/>
      <c r="I830" s="49"/>
      <c r="J830" s="58"/>
      <c r="K830" s="58"/>
      <c r="L830" s="59"/>
      <c r="M830" s="61"/>
      <c r="N830" s="60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</row>
    <row r="831" spans="1:27" ht="18" customHeight="1">
      <c r="A831" s="50"/>
      <c r="B831" s="49"/>
      <c r="C831" s="58"/>
      <c r="D831" s="59"/>
      <c r="E831" s="61"/>
      <c r="F831" s="60"/>
      <c r="G831" s="60"/>
      <c r="H831" s="49"/>
      <c r="I831" s="49"/>
      <c r="J831" s="58"/>
      <c r="K831" s="58"/>
      <c r="L831" s="59"/>
      <c r="M831" s="61"/>
      <c r="N831" s="60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</row>
    <row r="832" spans="1:27" ht="18" customHeight="1">
      <c r="A832" s="50"/>
      <c r="B832" s="49"/>
      <c r="C832" s="58"/>
      <c r="D832" s="59"/>
      <c r="E832" s="61"/>
      <c r="F832" s="60"/>
      <c r="G832" s="60"/>
      <c r="H832" s="49"/>
      <c r="I832" s="49"/>
      <c r="J832" s="58"/>
      <c r="K832" s="58"/>
      <c r="L832" s="59"/>
      <c r="M832" s="61"/>
      <c r="N832" s="60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</row>
    <row r="833" spans="1:27" ht="18" customHeight="1">
      <c r="A833" s="50"/>
      <c r="B833" s="49"/>
      <c r="C833" s="58"/>
      <c r="D833" s="59"/>
      <c r="E833" s="61"/>
      <c r="F833" s="60"/>
      <c r="G833" s="60"/>
      <c r="H833" s="49"/>
      <c r="I833" s="49"/>
      <c r="J833" s="58"/>
      <c r="K833" s="58"/>
      <c r="L833" s="59"/>
      <c r="M833" s="61"/>
      <c r="N833" s="60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</row>
    <row r="834" spans="1:27" ht="18" customHeight="1">
      <c r="A834" s="50"/>
      <c r="B834" s="49"/>
      <c r="C834" s="58"/>
      <c r="D834" s="59"/>
      <c r="E834" s="61"/>
      <c r="F834" s="60"/>
      <c r="G834" s="60"/>
      <c r="H834" s="49"/>
      <c r="I834" s="49"/>
      <c r="J834" s="58"/>
      <c r="K834" s="58"/>
      <c r="L834" s="59"/>
      <c r="M834" s="61"/>
      <c r="N834" s="60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</row>
    <row r="835" spans="1:27" ht="18" customHeight="1">
      <c r="A835" s="50"/>
      <c r="B835" s="49"/>
      <c r="C835" s="58"/>
      <c r="D835" s="59"/>
      <c r="E835" s="61"/>
      <c r="F835" s="60"/>
      <c r="G835" s="60"/>
      <c r="H835" s="49"/>
      <c r="I835" s="49"/>
      <c r="J835" s="58"/>
      <c r="K835" s="58"/>
      <c r="L835" s="59"/>
      <c r="M835" s="61"/>
      <c r="N835" s="60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</row>
    <row r="836" spans="1:27" ht="18" customHeight="1">
      <c r="A836" s="50"/>
      <c r="B836" s="49"/>
      <c r="C836" s="58"/>
      <c r="D836" s="59"/>
      <c r="E836" s="61"/>
      <c r="F836" s="60"/>
      <c r="G836" s="60"/>
      <c r="H836" s="49"/>
      <c r="I836" s="49"/>
      <c r="J836" s="58"/>
      <c r="K836" s="58"/>
      <c r="L836" s="59"/>
      <c r="M836" s="61"/>
      <c r="N836" s="60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</row>
    <row r="837" spans="1:27" ht="18" customHeight="1">
      <c r="A837" s="50"/>
      <c r="B837" s="49"/>
      <c r="C837" s="58"/>
      <c r="D837" s="59"/>
      <c r="E837" s="61"/>
      <c r="F837" s="60"/>
      <c r="G837" s="60"/>
      <c r="H837" s="49"/>
      <c r="I837" s="49"/>
      <c r="J837" s="58"/>
      <c r="K837" s="58"/>
      <c r="L837" s="59"/>
      <c r="M837" s="61"/>
      <c r="N837" s="60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</row>
    <row r="838" spans="1:27" ht="18" customHeight="1">
      <c r="A838" s="50"/>
      <c r="B838" s="49"/>
      <c r="C838" s="58"/>
      <c r="D838" s="59"/>
      <c r="E838" s="61"/>
      <c r="F838" s="60"/>
      <c r="G838" s="60"/>
      <c r="H838" s="49"/>
      <c r="I838" s="49"/>
      <c r="J838" s="58"/>
      <c r="K838" s="58"/>
      <c r="L838" s="59"/>
      <c r="M838" s="61"/>
      <c r="N838" s="60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</row>
    <row r="839" spans="1:27" ht="18" customHeight="1">
      <c r="A839" s="50"/>
      <c r="B839" s="49"/>
      <c r="C839" s="58"/>
      <c r="D839" s="59"/>
      <c r="E839" s="61"/>
      <c r="F839" s="60"/>
      <c r="G839" s="60"/>
      <c r="H839" s="49"/>
      <c r="I839" s="49"/>
      <c r="J839" s="58"/>
      <c r="K839" s="58"/>
      <c r="L839" s="59"/>
      <c r="M839" s="61"/>
      <c r="N839" s="60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</row>
    <row r="840" spans="1:27" ht="18" customHeight="1">
      <c r="A840" s="50"/>
      <c r="B840" s="49"/>
      <c r="C840" s="58"/>
      <c r="D840" s="59"/>
      <c r="E840" s="61"/>
      <c r="F840" s="60"/>
      <c r="G840" s="60"/>
      <c r="H840" s="49"/>
      <c r="I840" s="49"/>
      <c r="J840" s="58"/>
      <c r="K840" s="58"/>
      <c r="L840" s="59"/>
      <c r="M840" s="61"/>
      <c r="N840" s="60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</row>
    <row r="841" spans="1:27" ht="18" customHeight="1">
      <c r="A841" s="50"/>
      <c r="B841" s="49"/>
      <c r="C841" s="58"/>
      <c r="D841" s="59"/>
      <c r="E841" s="61"/>
      <c r="F841" s="60"/>
      <c r="G841" s="60"/>
      <c r="H841" s="49"/>
      <c r="I841" s="49"/>
      <c r="J841" s="58"/>
      <c r="K841" s="58"/>
      <c r="L841" s="59"/>
      <c r="M841" s="61"/>
      <c r="N841" s="60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</row>
    <row r="842" spans="1:27" ht="18" customHeight="1">
      <c r="A842" s="50"/>
      <c r="B842" s="49"/>
      <c r="C842" s="58"/>
      <c r="D842" s="59"/>
      <c r="E842" s="61"/>
      <c r="F842" s="60"/>
      <c r="G842" s="60"/>
      <c r="H842" s="49"/>
      <c r="I842" s="49"/>
      <c r="J842" s="58"/>
      <c r="K842" s="58"/>
      <c r="L842" s="59"/>
      <c r="M842" s="61"/>
      <c r="N842" s="60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</row>
    <row r="843" spans="1:27" ht="18" customHeight="1">
      <c r="A843" s="50"/>
      <c r="B843" s="49"/>
      <c r="C843" s="58"/>
      <c r="D843" s="59"/>
      <c r="E843" s="61"/>
      <c r="F843" s="60"/>
      <c r="G843" s="60"/>
      <c r="H843" s="49"/>
      <c r="I843" s="49"/>
      <c r="J843" s="58"/>
      <c r="K843" s="58"/>
      <c r="L843" s="59"/>
      <c r="M843" s="61"/>
      <c r="N843" s="60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</row>
    <row r="844" spans="1:27" ht="18" customHeight="1">
      <c r="A844" s="50"/>
      <c r="B844" s="49"/>
      <c r="C844" s="58"/>
      <c r="D844" s="59"/>
      <c r="E844" s="61"/>
      <c r="F844" s="60"/>
      <c r="G844" s="60"/>
      <c r="H844" s="49"/>
      <c r="I844" s="49"/>
      <c r="J844" s="58"/>
      <c r="K844" s="58"/>
      <c r="L844" s="59"/>
      <c r="M844" s="61"/>
      <c r="N844" s="60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</row>
    <row r="845" spans="1:27" ht="18" customHeight="1">
      <c r="A845" s="50"/>
      <c r="B845" s="49"/>
      <c r="C845" s="58"/>
      <c r="D845" s="59"/>
      <c r="E845" s="61"/>
      <c r="F845" s="60"/>
      <c r="G845" s="60"/>
      <c r="H845" s="49"/>
      <c r="I845" s="49"/>
      <c r="J845" s="58"/>
      <c r="K845" s="58"/>
      <c r="L845" s="59"/>
      <c r="M845" s="61"/>
      <c r="N845" s="60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</row>
    <row r="846" spans="1:27" ht="18" customHeight="1">
      <c r="A846" s="50"/>
      <c r="B846" s="49"/>
      <c r="C846" s="58"/>
      <c r="D846" s="59"/>
      <c r="E846" s="61"/>
      <c r="F846" s="60"/>
      <c r="G846" s="60"/>
      <c r="H846" s="49"/>
      <c r="I846" s="49"/>
      <c r="J846" s="58"/>
      <c r="K846" s="58"/>
      <c r="L846" s="59"/>
      <c r="M846" s="61"/>
      <c r="N846" s="60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</row>
    <row r="847" spans="1:27" ht="18" customHeight="1">
      <c r="A847" s="50"/>
      <c r="B847" s="49"/>
      <c r="C847" s="58"/>
      <c r="D847" s="59"/>
      <c r="E847" s="61"/>
      <c r="F847" s="60"/>
      <c r="G847" s="60"/>
      <c r="H847" s="49"/>
      <c r="I847" s="49"/>
      <c r="J847" s="58"/>
      <c r="K847" s="58"/>
      <c r="L847" s="59"/>
      <c r="M847" s="61"/>
      <c r="N847" s="60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</row>
    <row r="848" spans="1:27" ht="18" customHeight="1">
      <c r="A848" s="50"/>
      <c r="B848" s="49"/>
      <c r="C848" s="58"/>
      <c r="D848" s="59"/>
      <c r="E848" s="61"/>
      <c r="F848" s="60"/>
      <c r="G848" s="60"/>
      <c r="H848" s="49"/>
      <c r="I848" s="49"/>
      <c r="J848" s="58"/>
      <c r="K848" s="58"/>
      <c r="L848" s="59"/>
      <c r="M848" s="61"/>
      <c r="N848" s="60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</row>
    <row r="849" spans="1:27" ht="18" customHeight="1">
      <c r="A849" s="50"/>
      <c r="B849" s="49"/>
      <c r="C849" s="58"/>
      <c r="D849" s="59"/>
      <c r="E849" s="61"/>
      <c r="F849" s="60"/>
      <c r="G849" s="60"/>
      <c r="H849" s="49"/>
      <c r="I849" s="49"/>
      <c r="J849" s="58"/>
      <c r="K849" s="58"/>
      <c r="L849" s="59"/>
      <c r="M849" s="61"/>
      <c r="N849" s="60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</row>
    <row r="850" spans="1:27" ht="18" customHeight="1">
      <c r="A850" s="50"/>
      <c r="B850" s="49"/>
      <c r="C850" s="58"/>
      <c r="D850" s="59"/>
      <c r="E850" s="61"/>
      <c r="F850" s="60"/>
      <c r="G850" s="60"/>
      <c r="H850" s="49"/>
      <c r="I850" s="49"/>
      <c r="J850" s="58"/>
      <c r="K850" s="58"/>
      <c r="L850" s="59"/>
      <c r="M850" s="61"/>
      <c r="N850" s="60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</row>
    <row r="851" spans="1:27" ht="18" customHeight="1">
      <c r="A851" s="50"/>
      <c r="B851" s="49"/>
      <c r="C851" s="58"/>
      <c r="D851" s="59"/>
      <c r="E851" s="61"/>
      <c r="F851" s="60"/>
      <c r="G851" s="60"/>
      <c r="H851" s="49"/>
      <c r="I851" s="49"/>
      <c r="J851" s="58"/>
      <c r="K851" s="58"/>
      <c r="L851" s="59"/>
      <c r="M851" s="61"/>
      <c r="N851" s="60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</row>
    <row r="852" spans="1:27" ht="18" customHeight="1">
      <c r="A852" s="50"/>
      <c r="B852" s="49"/>
      <c r="C852" s="58"/>
      <c r="D852" s="59"/>
      <c r="E852" s="61"/>
      <c r="F852" s="60"/>
      <c r="G852" s="60"/>
      <c r="H852" s="49"/>
      <c r="I852" s="49"/>
      <c r="J852" s="58"/>
      <c r="K852" s="58"/>
      <c r="L852" s="59"/>
      <c r="M852" s="61"/>
      <c r="N852" s="60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</row>
    <row r="853" spans="1:27" ht="18" customHeight="1">
      <c r="A853" s="50"/>
      <c r="B853" s="49"/>
      <c r="C853" s="58"/>
      <c r="D853" s="59"/>
      <c r="E853" s="61"/>
      <c r="F853" s="60"/>
      <c r="G853" s="60"/>
      <c r="H853" s="49"/>
      <c r="I853" s="49"/>
      <c r="J853" s="58"/>
      <c r="K853" s="58"/>
      <c r="L853" s="59"/>
      <c r="M853" s="61"/>
      <c r="N853" s="60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</row>
    <row r="854" spans="1:27" ht="18" customHeight="1">
      <c r="A854" s="50"/>
      <c r="B854" s="49"/>
      <c r="C854" s="58"/>
      <c r="D854" s="59"/>
      <c r="E854" s="61"/>
      <c r="F854" s="60"/>
      <c r="G854" s="60"/>
      <c r="H854" s="49"/>
      <c r="I854" s="49"/>
      <c r="J854" s="58"/>
      <c r="K854" s="58"/>
      <c r="L854" s="59"/>
      <c r="M854" s="61"/>
      <c r="N854" s="60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</row>
    <row r="855" spans="1:27" ht="18" customHeight="1">
      <c r="A855" s="50"/>
      <c r="B855" s="49"/>
      <c r="C855" s="58"/>
      <c r="D855" s="59"/>
      <c r="E855" s="61"/>
      <c r="F855" s="60"/>
      <c r="G855" s="60"/>
      <c r="H855" s="49"/>
      <c r="I855" s="49"/>
      <c r="J855" s="58"/>
      <c r="K855" s="58"/>
      <c r="L855" s="59"/>
      <c r="M855" s="61"/>
      <c r="N855" s="60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</row>
    <row r="856" spans="1:27" ht="18" customHeight="1">
      <c r="A856" s="50"/>
      <c r="B856" s="49"/>
      <c r="C856" s="58"/>
      <c r="D856" s="59"/>
      <c r="E856" s="61"/>
      <c r="F856" s="60"/>
      <c r="G856" s="60"/>
      <c r="H856" s="49"/>
      <c r="I856" s="49"/>
      <c r="J856" s="58"/>
      <c r="K856" s="58"/>
      <c r="L856" s="59"/>
      <c r="M856" s="61"/>
      <c r="N856" s="60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</row>
    <row r="857" spans="1:27" ht="18" customHeight="1">
      <c r="A857" s="50"/>
      <c r="B857" s="49"/>
      <c r="C857" s="58"/>
      <c r="D857" s="59"/>
      <c r="E857" s="61"/>
      <c r="F857" s="60"/>
      <c r="G857" s="60"/>
      <c r="H857" s="49"/>
      <c r="I857" s="49"/>
      <c r="J857" s="58"/>
      <c r="K857" s="58"/>
      <c r="L857" s="59"/>
      <c r="M857" s="61"/>
      <c r="N857" s="60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</row>
    <row r="858" spans="1:27" ht="18" customHeight="1">
      <c r="A858" s="50"/>
      <c r="B858" s="49"/>
      <c r="C858" s="58"/>
      <c r="D858" s="59"/>
      <c r="E858" s="61"/>
      <c r="F858" s="60"/>
      <c r="G858" s="60"/>
      <c r="H858" s="49"/>
      <c r="I858" s="49"/>
      <c r="J858" s="58"/>
      <c r="K858" s="58"/>
      <c r="L858" s="59"/>
      <c r="M858" s="61"/>
      <c r="N858" s="60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</row>
    <row r="859" spans="1:27" ht="18" customHeight="1">
      <c r="A859" s="50"/>
      <c r="B859" s="49"/>
      <c r="C859" s="58"/>
      <c r="D859" s="59"/>
      <c r="E859" s="61"/>
      <c r="F859" s="60"/>
      <c r="G859" s="60"/>
      <c r="H859" s="49"/>
      <c r="I859" s="49"/>
      <c r="J859" s="58"/>
      <c r="K859" s="58"/>
      <c r="L859" s="59"/>
      <c r="M859" s="61"/>
      <c r="N859" s="60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</row>
    <row r="860" spans="1:27" ht="18" customHeight="1">
      <c r="A860" s="50"/>
      <c r="B860" s="49"/>
      <c r="C860" s="58"/>
      <c r="D860" s="59"/>
      <c r="E860" s="61"/>
      <c r="F860" s="60"/>
      <c r="G860" s="60"/>
      <c r="H860" s="49"/>
      <c r="I860" s="49"/>
      <c r="J860" s="58"/>
      <c r="K860" s="58"/>
      <c r="L860" s="59"/>
      <c r="M860" s="61"/>
      <c r="N860" s="60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</row>
    <row r="861" spans="1:27" ht="18" customHeight="1">
      <c r="A861" s="50"/>
      <c r="B861" s="49"/>
      <c r="C861" s="58"/>
      <c r="D861" s="59"/>
      <c r="E861" s="61"/>
      <c r="F861" s="60"/>
      <c r="G861" s="60"/>
      <c r="H861" s="49"/>
      <c r="I861" s="49"/>
      <c r="J861" s="58"/>
      <c r="K861" s="58"/>
      <c r="L861" s="59"/>
      <c r="M861" s="61"/>
      <c r="N861" s="60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</row>
    <row r="862" spans="1:27" ht="18" customHeight="1">
      <c r="A862" s="50"/>
      <c r="B862" s="49"/>
      <c r="C862" s="58"/>
      <c r="D862" s="59"/>
      <c r="E862" s="61"/>
      <c r="F862" s="60"/>
      <c r="G862" s="60"/>
      <c r="H862" s="49"/>
      <c r="I862" s="49"/>
      <c r="J862" s="58"/>
      <c r="K862" s="58"/>
      <c r="L862" s="59"/>
      <c r="M862" s="61"/>
      <c r="N862" s="60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</row>
    <row r="863" spans="1:27" ht="18" customHeight="1">
      <c r="A863" s="50"/>
      <c r="B863" s="49"/>
      <c r="C863" s="58"/>
      <c r="D863" s="59"/>
      <c r="E863" s="61"/>
      <c r="F863" s="60"/>
      <c r="G863" s="60"/>
      <c r="H863" s="49"/>
      <c r="I863" s="49"/>
      <c r="J863" s="58"/>
      <c r="K863" s="58"/>
      <c r="L863" s="59"/>
      <c r="M863" s="61"/>
      <c r="N863" s="60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</row>
    <row r="864" spans="1:27" ht="18" customHeight="1">
      <c r="A864" s="50"/>
      <c r="B864" s="49"/>
      <c r="C864" s="58"/>
      <c r="D864" s="59"/>
      <c r="E864" s="61"/>
      <c r="F864" s="60"/>
      <c r="G864" s="60"/>
      <c r="H864" s="49"/>
      <c r="I864" s="49"/>
      <c r="J864" s="58"/>
      <c r="K864" s="58"/>
      <c r="L864" s="59"/>
      <c r="M864" s="61"/>
      <c r="N864" s="60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</row>
    <row r="865" spans="1:27" ht="18" customHeight="1">
      <c r="A865" s="50"/>
      <c r="B865" s="49"/>
      <c r="C865" s="58"/>
      <c r="D865" s="59"/>
      <c r="E865" s="61"/>
      <c r="F865" s="60"/>
      <c r="G865" s="60"/>
      <c r="H865" s="49"/>
      <c r="I865" s="49"/>
      <c r="J865" s="58"/>
      <c r="K865" s="58"/>
      <c r="L865" s="59"/>
      <c r="M865" s="61"/>
      <c r="N865" s="60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</row>
    <row r="866" spans="1:27" ht="18" customHeight="1">
      <c r="A866" s="50"/>
      <c r="B866" s="49"/>
      <c r="C866" s="58"/>
      <c r="D866" s="59"/>
      <c r="E866" s="61"/>
      <c r="F866" s="60"/>
      <c r="G866" s="60"/>
      <c r="H866" s="49"/>
      <c r="I866" s="49"/>
      <c r="J866" s="58"/>
      <c r="K866" s="58"/>
      <c r="L866" s="59"/>
      <c r="M866" s="61"/>
      <c r="N866" s="60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</row>
    <row r="867" spans="1:27" ht="18" customHeight="1">
      <c r="A867" s="50"/>
      <c r="B867" s="49"/>
      <c r="C867" s="58"/>
      <c r="D867" s="59"/>
      <c r="E867" s="61"/>
      <c r="F867" s="60"/>
      <c r="G867" s="60"/>
      <c r="H867" s="49"/>
      <c r="I867" s="49"/>
      <c r="J867" s="58"/>
      <c r="K867" s="58"/>
      <c r="L867" s="59"/>
      <c r="M867" s="61"/>
      <c r="N867" s="60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</row>
    <row r="868" spans="1:27" ht="18" customHeight="1">
      <c r="A868" s="50"/>
      <c r="B868" s="49"/>
      <c r="C868" s="58"/>
      <c r="D868" s="59"/>
      <c r="E868" s="61"/>
      <c r="F868" s="60"/>
      <c r="G868" s="60"/>
      <c r="H868" s="49"/>
      <c r="I868" s="49"/>
      <c r="J868" s="58"/>
      <c r="K868" s="58"/>
      <c r="L868" s="59"/>
      <c r="M868" s="61"/>
      <c r="N868" s="60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</row>
    <row r="869" spans="1:27" ht="18" customHeight="1">
      <c r="A869" s="50"/>
      <c r="B869" s="49"/>
      <c r="C869" s="58"/>
      <c r="D869" s="59"/>
      <c r="E869" s="61"/>
      <c r="F869" s="60"/>
      <c r="G869" s="60"/>
      <c r="H869" s="49"/>
      <c r="I869" s="49"/>
      <c r="J869" s="58"/>
      <c r="K869" s="58"/>
      <c r="L869" s="59"/>
      <c r="M869" s="61"/>
      <c r="N869" s="60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</row>
    <row r="870" spans="1:27" ht="18" customHeight="1">
      <c r="A870" s="50"/>
      <c r="B870" s="49"/>
      <c r="C870" s="58"/>
      <c r="D870" s="59"/>
      <c r="E870" s="61"/>
      <c r="F870" s="60"/>
      <c r="G870" s="60"/>
      <c r="H870" s="49"/>
      <c r="I870" s="49"/>
      <c r="J870" s="58"/>
      <c r="K870" s="58"/>
      <c r="L870" s="59"/>
      <c r="M870" s="61"/>
      <c r="N870" s="60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</row>
    <row r="871" spans="1:27" ht="18" customHeight="1">
      <c r="A871" s="50"/>
      <c r="B871" s="49"/>
      <c r="C871" s="58"/>
      <c r="D871" s="59"/>
      <c r="E871" s="61"/>
      <c r="F871" s="60"/>
      <c r="G871" s="60"/>
      <c r="H871" s="49"/>
      <c r="I871" s="49"/>
      <c r="J871" s="58"/>
      <c r="K871" s="58"/>
      <c r="L871" s="59"/>
      <c r="M871" s="61"/>
      <c r="N871" s="60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</row>
    <row r="872" spans="1:27" ht="18" customHeight="1">
      <c r="A872" s="50"/>
      <c r="B872" s="49"/>
      <c r="C872" s="58"/>
      <c r="D872" s="59"/>
      <c r="E872" s="61"/>
      <c r="F872" s="60"/>
      <c r="G872" s="60"/>
      <c r="H872" s="49"/>
      <c r="I872" s="49"/>
      <c r="J872" s="58"/>
      <c r="K872" s="58"/>
      <c r="L872" s="59"/>
      <c r="M872" s="61"/>
      <c r="N872" s="60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</row>
    <row r="873" spans="1:27" ht="18" customHeight="1">
      <c r="A873" s="50"/>
      <c r="B873" s="49"/>
      <c r="C873" s="58"/>
      <c r="D873" s="59"/>
      <c r="E873" s="61"/>
      <c r="F873" s="60"/>
      <c r="G873" s="60"/>
      <c r="H873" s="49"/>
      <c r="I873" s="49"/>
      <c r="J873" s="58"/>
      <c r="K873" s="58"/>
      <c r="L873" s="59"/>
      <c r="M873" s="61"/>
      <c r="N873" s="60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</row>
    <row r="874" spans="1:27" ht="18" customHeight="1">
      <c r="A874" s="50"/>
      <c r="B874" s="49"/>
      <c r="C874" s="58"/>
      <c r="D874" s="59"/>
      <c r="E874" s="61"/>
      <c r="F874" s="60"/>
      <c r="G874" s="60"/>
      <c r="H874" s="49"/>
      <c r="I874" s="49"/>
      <c r="J874" s="58"/>
      <c r="K874" s="58"/>
      <c r="L874" s="59"/>
      <c r="M874" s="61"/>
      <c r="N874" s="60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</row>
    <row r="875" spans="1:27" ht="18" customHeight="1">
      <c r="A875" s="50"/>
      <c r="B875" s="49"/>
      <c r="C875" s="58"/>
      <c r="D875" s="59"/>
      <c r="E875" s="61"/>
      <c r="F875" s="60"/>
      <c r="G875" s="60"/>
      <c r="H875" s="49"/>
      <c r="I875" s="49"/>
      <c r="J875" s="58"/>
      <c r="K875" s="58"/>
      <c r="L875" s="59"/>
      <c r="M875" s="61"/>
      <c r="N875" s="60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</row>
    <row r="876" spans="1:27" ht="18" customHeight="1">
      <c r="A876" s="50"/>
      <c r="B876" s="49"/>
      <c r="C876" s="58"/>
      <c r="D876" s="59"/>
      <c r="E876" s="61"/>
      <c r="F876" s="60"/>
      <c r="G876" s="60"/>
      <c r="H876" s="49"/>
      <c r="I876" s="49"/>
      <c r="J876" s="58"/>
      <c r="K876" s="58"/>
      <c r="L876" s="59"/>
      <c r="M876" s="61"/>
      <c r="N876" s="60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</row>
    <row r="877" spans="1:27" ht="18" customHeight="1">
      <c r="A877" s="50"/>
      <c r="B877" s="49"/>
      <c r="C877" s="58"/>
      <c r="D877" s="59"/>
      <c r="E877" s="61"/>
      <c r="F877" s="60"/>
      <c r="G877" s="60"/>
      <c r="H877" s="49"/>
      <c r="I877" s="49"/>
      <c r="J877" s="58"/>
      <c r="K877" s="58"/>
      <c r="L877" s="59"/>
      <c r="M877" s="61"/>
      <c r="N877" s="60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</row>
    <row r="878" spans="1:27" ht="18" customHeight="1">
      <c r="A878" s="50"/>
      <c r="B878" s="49"/>
      <c r="C878" s="58"/>
      <c r="D878" s="59"/>
      <c r="E878" s="61"/>
      <c r="F878" s="60"/>
      <c r="G878" s="60"/>
      <c r="H878" s="49"/>
      <c r="I878" s="49"/>
      <c r="J878" s="58"/>
      <c r="K878" s="58"/>
      <c r="L878" s="59"/>
      <c r="M878" s="61"/>
      <c r="N878" s="60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</row>
    <row r="879" spans="1:27" ht="18" customHeight="1">
      <c r="A879" s="50"/>
      <c r="B879" s="49"/>
      <c r="C879" s="58"/>
      <c r="D879" s="59"/>
      <c r="E879" s="61"/>
      <c r="F879" s="60"/>
      <c r="G879" s="60"/>
      <c r="H879" s="49"/>
      <c r="I879" s="49"/>
      <c r="J879" s="58"/>
      <c r="K879" s="58"/>
      <c r="L879" s="59"/>
      <c r="M879" s="61"/>
      <c r="N879" s="60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</row>
    <row r="880" spans="1:27" ht="18" customHeight="1">
      <c r="A880" s="50"/>
      <c r="B880" s="49"/>
      <c r="C880" s="58"/>
      <c r="D880" s="59"/>
      <c r="E880" s="61"/>
      <c r="F880" s="60"/>
      <c r="G880" s="60"/>
      <c r="H880" s="49"/>
      <c r="I880" s="49"/>
      <c r="J880" s="58"/>
      <c r="K880" s="58"/>
      <c r="L880" s="59"/>
      <c r="M880" s="61"/>
      <c r="N880" s="60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</row>
    <row r="881" spans="1:27" ht="18" customHeight="1">
      <c r="A881" s="50"/>
      <c r="B881" s="49"/>
      <c r="C881" s="58"/>
      <c r="D881" s="59"/>
      <c r="E881" s="61"/>
      <c r="F881" s="60"/>
      <c r="G881" s="60"/>
      <c r="H881" s="49"/>
      <c r="I881" s="49"/>
      <c r="J881" s="58"/>
      <c r="K881" s="58"/>
      <c r="L881" s="59"/>
      <c r="M881" s="61"/>
      <c r="N881" s="60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</row>
    <row r="882" spans="1:27" ht="18" customHeight="1">
      <c r="A882" s="50"/>
      <c r="B882" s="49"/>
      <c r="C882" s="58"/>
      <c r="D882" s="59"/>
      <c r="E882" s="61"/>
      <c r="F882" s="60"/>
      <c r="G882" s="60"/>
      <c r="H882" s="49"/>
      <c r="I882" s="49"/>
      <c r="J882" s="58"/>
      <c r="K882" s="58"/>
      <c r="L882" s="59"/>
      <c r="M882" s="61"/>
      <c r="N882" s="60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</row>
    <row r="883" spans="1:27" ht="18" customHeight="1">
      <c r="A883" s="50"/>
      <c r="B883" s="49"/>
      <c r="C883" s="58"/>
      <c r="D883" s="59"/>
      <c r="E883" s="61"/>
      <c r="F883" s="60"/>
      <c r="G883" s="60"/>
      <c r="H883" s="49"/>
      <c r="I883" s="49"/>
      <c r="J883" s="58"/>
      <c r="K883" s="58"/>
      <c r="L883" s="59"/>
      <c r="M883" s="61"/>
      <c r="N883" s="60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</row>
    <row r="884" spans="1:27" ht="18" customHeight="1">
      <c r="A884" s="50"/>
      <c r="B884" s="49"/>
      <c r="C884" s="58"/>
      <c r="D884" s="59"/>
      <c r="E884" s="61"/>
      <c r="F884" s="60"/>
      <c r="G884" s="60"/>
      <c r="H884" s="49"/>
      <c r="I884" s="49"/>
      <c r="J884" s="58"/>
      <c r="K884" s="58"/>
      <c r="L884" s="59"/>
      <c r="M884" s="61"/>
      <c r="N884" s="60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</row>
    <row r="885" spans="1:27" ht="18" customHeight="1">
      <c r="A885" s="50"/>
      <c r="B885" s="49"/>
      <c r="C885" s="58"/>
      <c r="D885" s="59"/>
      <c r="E885" s="61"/>
      <c r="F885" s="60"/>
      <c r="G885" s="60"/>
      <c r="H885" s="49"/>
      <c r="I885" s="49"/>
      <c r="J885" s="58"/>
      <c r="K885" s="58"/>
      <c r="L885" s="59"/>
      <c r="M885" s="61"/>
      <c r="N885" s="60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</row>
    <row r="886" spans="1:27" ht="18" customHeight="1">
      <c r="A886" s="50"/>
      <c r="B886" s="49"/>
      <c r="C886" s="58"/>
      <c r="D886" s="59"/>
      <c r="E886" s="61"/>
      <c r="F886" s="60"/>
      <c r="G886" s="60"/>
      <c r="H886" s="49"/>
      <c r="I886" s="49"/>
      <c r="J886" s="58"/>
      <c r="K886" s="58"/>
      <c r="L886" s="59"/>
      <c r="M886" s="61"/>
      <c r="N886" s="60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</row>
    <row r="887" spans="1:27" ht="18" customHeight="1">
      <c r="A887" s="50"/>
      <c r="B887" s="49"/>
      <c r="C887" s="58"/>
      <c r="D887" s="59"/>
      <c r="E887" s="61"/>
      <c r="F887" s="60"/>
      <c r="G887" s="60"/>
      <c r="H887" s="49"/>
      <c r="I887" s="49"/>
      <c r="J887" s="58"/>
      <c r="K887" s="58"/>
      <c r="L887" s="59"/>
      <c r="M887" s="61"/>
      <c r="N887" s="60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</row>
    <row r="888" spans="1:27" ht="18" customHeight="1">
      <c r="A888" s="50"/>
      <c r="B888" s="49"/>
      <c r="C888" s="58"/>
      <c r="D888" s="59"/>
      <c r="E888" s="61"/>
      <c r="F888" s="60"/>
      <c r="G888" s="60"/>
      <c r="H888" s="49"/>
      <c r="I888" s="49"/>
      <c r="J888" s="58"/>
      <c r="K888" s="58"/>
      <c r="L888" s="59"/>
      <c r="M888" s="61"/>
      <c r="N888" s="60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</row>
    <row r="889" spans="1:27" ht="18" customHeight="1">
      <c r="A889" s="50"/>
      <c r="B889" s="49"/>
      <c r="C889" s="58"/>
      <c r="D889" s="59"/>
      <c r="E889" s="61"/>
      <c r="F889" s="60"/>
      <c r="G889" s="60"/>
      <c r="H889" s="49"/>
      <c r="I889" s="49"/>
      <c r="J889" s="58"/>
      <c r="K889" s="58"/>
      <c r="L889" s="59"/>
      <c r="M889" s="61"/>
      <c r="N889" s="60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</row>
    <row r="890" spans="1:27" ht="18" customHeight="1">
      <c r="A890" s="50"/>
      <c r="B890" s="49"/>
      <c r="C890" s="58"/>
      <c r="D890" s="59"/>
      <c r="E890" s="61"/>
      <c r="F890" s="60"/>
      <c r="G890" s="60"/>
      <c r="H890" s="49"/>
      <c r="I890" s="49"/>
      <c r="J890" s="58"/>
      <c r="K890" s="58"/>
      <c r="L890" s="59"/>
      <c r="M890" s="61"/>
      <c r="N890" s="60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</row>
    <row r="891" spans="1:27" ht="18" customHeight="1">
      <c r="A891" s="50"/>
      <c r="B891" s="49"/>
      <c r="C891" s="58"/>
      <c r="D891" s="59"/>
      <c r="E891" s="61"/>
      <c r="F891" s="60"/>
      <c r="G891" s="60"/>
      <c r="H891" s="49"/>
      <c r="I891" s="49"/>
      <c r="J891" s="58"/>
      <c r="K891" s="58"/>
      <c r="L891" s="59"/>
      <c r="M891" s="61"/>
      <c r="N891" s="60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</row>
    <row r="892" spans="1:27" ht="18" customHeight="1">
      <c r="A892" s="50"/>
      <c r="B892" s="49"/>
      <c r="C892" s="58"/>
      <c r="D892" s="59"/>
      <c r="E892" s="61"/>
      <c r="F892" s="60"/>
      <c r="G892" s="60"/>
      <c r="H892" s="49"/>
      <c r="I892" s="49"/>
      <c r="J892" s="58"/>
      <c r="K892" s="58"/>
      <c r="L892" s="59"/>
      <c r="M892" s="61"/>
      <c r="N892" s="60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</row>
    <row r="893" spans="1:27" ht="18" customHeight="1">
      <c r="A893" s="50"/>
      <c r="B893" s="49"/>
      <c r="C893" s="58"/>
      <c r="D893" s="59"/>
      <c r="E893" s="61"/>
      <c r="F893" s="60"/>
      <c r="G893" s="60"/>
      <c r="H893" s="49"/>
      <c r="I893" s="49"/>
      <c r="J893" s="58"/>
      <c r="K893" s="58"/>
      <c r="L893" s="59"/>
      <c r="M893" s="61"/>
      <c r="N893" s="60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</row>
    <row r="894" spans="1:27" ht="18" customHeight="1">
      <c r="A894" s="50"/>
      <c r="B894" s="49"/>
      <c r="C894" s="58"/>
      <c r="D894" s="59"/>
      <c r="E894" s="61"/>
      <c r="F894" s="60"/>
      <c r="G894" s="60"/>
      <c r="H894" s="49"/>
      <c r="I894" s="49"/>
      <c r="J894" s="58"/>
      <c r="K894" s="58"/>
      <c r="L894" s="59"/>
      <c r="M894" s="61"/>
      <c r="N894" s="60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</row>
    <row r="895" spans="1:27" ht="18" customHeight="1">
      <c r="A895" s="50"/>
      <c r="B895" s="49"/>
      <c r="C895" s="58"/>
      <c r="D895" s="59"/>
      <c r="E895" s="61"/>
      <c r="F895" s="60"/>
      <c r="G895" s="60"/>
      <c r="H895" s="49"/>
      <c r="I895" s="49"/>
      <c r="J895" s="58"/>
      <c r="K895" s="58"/>
      <c r="L895" s="59"/>
      <c r="M895" s="61"/>
      <c r="N895" s="60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</row>
    <row r="896" spans="1:27" ht="18" customHeight="1">
      <c r="A896" s="50"/>
      <c r="B896" s="49"/>
      <c r="C896" s="58"/>
      <c r="D896" s="59"/>
      <c r="E896" s="61"/>
      <c r="F896" s="60"/>
      <c r="G896" s="60"/>
      <c r="H896" s="49"/>
      <c r="I896" s="49"/>
      <c r="J896" s="58"/>
      <c r="K896" s="58"/>
      <c r="L896" s="59"/>
      <c r="M896" s="61"/>
      <c r="N896" s="60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</row>
    <row r="897" spans="1:27" ht="18" customHeight="1">
      <c r="A897" s="50"/>
      <c r="B897" s="49"/>
      <c r="C897" s="58"/>
      <c r="D897" s="59"/>
      <c r="E897" s="61"/>
      <c r="F897" s="60"/>
      <c r="G897" s="60"/>
      <c r="H897" s="49"/>
      <c r="I897" s="49"/>
      <c r="J897" s="58"/>
      <c r="K897" s="58"/>
      <c r="L897" s="59"/>
      <c r="M897" s="61"/>
      <c r="N897" s="60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</row>
    <row r="898" spans="1:27" ht="18" customHeight="1">
      <c r="A898" s="50"/>
      <c r="B898" s="49"/>
      <c r="C898" s="58"/>
      <c r="D898" s="59"/>
      <c r="E898" s="61"/>
      <c r="F898" s="60"/>
      <c r="G898" s="60"/>
      <c r="H898" s="49"/>
      <c r="I898" s="49"/>
      <c r="J898" s="58"/>
      <c r="K898" s="58"/>
      <c r="L898" s="59"/>
      <c r="M898" s="61"/>
      <c r="N898" s="60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</row>
    <row r="899" spans="1:27" ht="18" customHeight="1">
      <c r="A899" s="50"/>
      <c r="B899" s="49"/>
      <c r="C899" s="58"/>
      <c r="D899" s="59"/>
      <c r="E899" s="61"/>
      <c r="F899" s="60"/>
      <c r="G899" s="60"/>
      <c r="H899" s="49"/>
      <c r="I899" s="49"/>
      <c r="J899" s="58"/>
      <c r="K899" s="58"/>
      <c r="L899" s="59"/>
      <c r="M899" s="61"/>
      <c r="N899" s="60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</row>
    <row r="900" spans="1:27" ht="18" customHeight="1">
      <c r="A900" s="50"/>
      <c r="B900" s="49"/>
      <c r="C900" s="58"/>
      <c r="D900" s="59"/>
      <c r="E900" s="61"/>
      <c r="F900" s="60"/>
      <c r="G900" s="60"/>
      <c r="H900" s="49"/>
      <c r="I900" s="49"/>
      <c r="J900" s="58"/>
      <c r="K900" s="58"/>
      <c r="L900" s="59"/>
      <c r="M900" s="61"/>
      <c r="N900" s="60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</row>
    <row r="901" spans="1:27" ht="18" customHeight="1">
      <c r="A901" s="50"/>
      <c r="B901" s="49"/>
      <c r="C901" s="58"/>
      <c r="D901" s="59"/>
      <c r="E901" s="61"/>
      <c r="F901" s="60"/>
      <c r="G901" s="60"/>
      <c r="H901" s="49"/>
      <c r="I901" s="49"/>
      <c r="J901" s="58"/>
      <c r="K901" s="58"/>
      <c r="L901" s="59"/>
      <c r="M901" s="61"/>
      <c r="N901" s="60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</row>
    <row r="902" spans="1:27" ht="18" customHeight="1">
      <c r="A902" s="50"/>
      <c r="B902" s="49"/>
      <c r="C902" s="58"/>
      <c r="D902" s="59"/>
      <c r="E902" s="61"/>
      <c r="F902" s="60"/>
      <c r="G902" s="60"/>
      <c r="H902" s="49"/>
      <c r="I902" s="49"/>
      <c r="J902" s="58"/>
      <c r="K902" s="58"/>
      <c r="L902" s="59"/>
      <c r="M902" s="61"/>
      <c r="N902" s="60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</row>
    <row r="903" spans="1:27" ht="18" customHeight="1">
      <c r="A903" s="50"/>
      <c r="B903" s="49"/>
      <c r="C903" s="58"/>
      <c r="D903" s="59"/>
      <c r="E903" s="61"/>
      <c r="F903" s="60"/>
      <c r="G903" s="60"/>
      <c r="H903" s="49"/>
      <c r="I903" s="49"/>
      <c r="J903" s="58"/>
      <c r="K903" s="58"/>
      <c r="L903" s="59"/>
      <c r="M903" s="61"/>
      <c r="N903" s="60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</row>
    <row r="904" spans="1:27" ht="18" customHeight="1">
      <c r="A904" s="50"/>
      <c r="B904" s="49"/>
      <c r="C904" s="58"/>
      <c r="D904" s="59"/>
      <c r="E904" s="61"/>
      <c r="F904" s="60"/>
      <c r="G904" s="60"/>
      <c r="H904" s="49"/>
      <c r="I904" s="49"/>
      <c r="J904" s="58"/>
      <c r="K904" s="58"/>
      <c r="L904" s="59"/>
      <c r="M904" s="61"/>
      <c r="N904" s="60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</row>
    <row r="905" spans="1:27" ht="18" customHeight="1">
      <c r="A905" s="50"/>
      <c r="B905" s="49"/>
      <c r="C905" s="58"/>
      <c r="D905" s="59"/>
      <c r="E905" s="61"/>
      <c r="F905" s="60"/>
      <c r="G905" s="60"/>
      <c r="H905" s="49"/>
      <c r="I905" s="49"/>
      <c r="J905" s="58"/>
      <c r="K905" s="58"/>
      <c r="L905" s="59"/>
      <c r="M905" s="61"/>
      <c r="N905" s="60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</row>
    <row r="906" spans="1:27" ht="18" customHeight="1">
      <c r="A906" s="50"/>
      <c r="B906" s="49"/>
      <c r="C906" s="58"/>
      <c r="D906" s="59"/>
      <c r="E906" s="61"/>
      <c r="F906" s="60"/>
      <c r="G906" s="60"/>
      <c r="H906" s="49"/>
      <c r="I906" s="49"/>
      <c r="J906" s="58"/>
      <c r="K906" s="58"/>
      <c r="L906" s="59"/>
      <c r="M906" s="61"/>
      <c r="N906" s="60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</row>
    <row r="907" spans="1:27" ht="18" customHeight="1">
      <c r="A907" s="50"/>
      <c r="B907" s="49"/>
      <c r="C907" s="58"/>
      <c r="D907" s="59"/>
      <c r="E907" s="61"/>
      <c r="F907" s="60"/>
      <c r="G907" s="60"/>
      <c r="H907" s="49"/>
      <c r="I907" s="49"/>
      <c r="J907" s="58"/>
      <c r="K907" s="58"/>
      <c r="L907" s="59"/>
      <c r="M907" s="61"/>
      <c r="N907" s="60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</row>
    <row r="908" spans="1:27" ht="18" customHeight="1">
      <c r="A908" s="50"/>
      <c r="B908" s="49"/>
      <c r="C908" s="58"/>
      <c r="D908" s="59"/>
      <c r="E908" s="61"/>
      <c r="F908" s="60"/>
      <c r="G908" s="60"/>
      <c r="H908" s="49"/>
      <c r="I908" s="49"/>
      <c r="J908" s="58"/>
      <c r="K908" s="58"/>
      <c r="L908" s="59"/>
      <c r="M908" s="61"/>
      <c r="N908" s="60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</row>
    <row r="909" spans="1:27" ht="18" customHeight="1">
      <c r="A909" s="50"/>
      <c r="B909" s="49"/>
      <c r="C909" s="58"/>
      <c r="D909" s="59"/>
      <c r="E909" s="61"/>
      <c r="F909" s="60"/>
      <c r="G909" s="60"/>
      <c r="H909" s="49"/>
      <c r="I909" s="49"/>
      <c r="J909" s="58"/>
      <c r="K909" s="58"/>
      <c r="L909" s="59"/>
      <c r="M909" s="61"/>
      <c r="N909" s="60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</row>
    <row r="910" spans="1:27" ht="18" customHeight="1">
      <c r="A910" s="50"/>
      <c r="B910" s="49"/>
      <c r="C910" s="58"/>
      <c r="D910" s="59"/>
      <c r="E910" s="61"/>
      <c r="F910" s="60"/>
      <c r="G910" s="60"/>
      <c r="H910" s="49"/>
      <c r="I910" s="49"/>
      <c r="J910" s="58"/>
      <c r="K910" s="58"/>
      <c r="L910" s="59"/>
      <c r="M910" s="61"/>
      <c r="N910" s="60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</row>
    <row r="911" spans="1:27" ht="18" customHeight="1">
      <c r="A911" s="50"/>
      <c r="B911" s="49"/>
      <c r="C911" s="58"/>
      <c r="D911" s="59"/>
      <c r="E911" s="61"/>
      <c r="F911" s="60"/>
      <c r="G911" s="60"/>
      <c r="H911" s="49"/>
      <c r="I911" s="49"/>
      <c r="J911" s="58"/>
      <c r="K911" s="58"/>
      <c r="L911" s="59"/>
      <c r="M911" s="61"/>
      <c r="N911" s="60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</row>
    <row r="912" spans="1:27" ht="18" customHeight="1">
      <c r="A912" s="50"/>
      <c r="B912" s="49"/>
      <c r="C912" s="58"/>
      <c r="D912" s="59"/>
      <c r="E912" s="61"/>
      <c r="F912" s="60"/>
      <c r="G912" s="60"/>
      <c r="H912" s="49"/>
      <c r="I912" s="49"/>
      <c r="J912" s="58"/>
      <c r="K912" s="58"/>
      <c r="L912" s="59"/>
      <c r="M912" s="61"/>
      <c r="N912" s="60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</row>
    <row r="913" spans="1:27" ht="18" customHeight="1">
      <c r="A913" s="50"/>
      <c r="B913" s="49"/>
      <c r="C913" s="58"/>
      <c r="D913" s="59"/>
      <c r="E913" s="61"/>
      <c r="F913" s="60"/>
      <c r="G913" s="60"/>
      <c r="H913" s="49"/>
      <c r="I913" s="49"/>
      <c r="J913" s="58"/>
      <c r="K913" s="58"/>
      <c r="L913" s="59"/>
      <c r="M913" s="61"/>
      <c r="N913" s="60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</row>
    <row r="914" spans="1:27" ht="18" customHeight="1">
      <c r="A914" s="50"/>
      <c r="B914" s="49"/>
      <c r="C914" s="58"/>
      <c r="D914" s="59"/>
      <c r="E914" s="61"/>
      <c r="F914" s="60"/>
      <c r="G914" s="60"/>
      <c r="H914" s="49"/>
      <c r="I914" s="49"/>
      <c r="J914" s="58"/>
      <c r="K914" s="58"/>
      <c r="L914" s="59"/>
      <c r="M914" s="61"/>
      <c r="N914" s="60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</row>
    <row r="915" spans="1:27" ht="18" customHeight="1">
      <c r="A915" s="50"/>
      <c r="B915" s="49"/>
      <c r="C915" s="58"/>
      <c r="D915" s="59"/>
      <c r="E915" s="61"/>
      <c r="F915" s="60"/>
      <c r="G915" s="60"/>
      <c r="H915" s="49"/>
      <c r="I915" s="49"/>
      <c r="J915" s="58"/>
      <c r="K915" s="58"/>
      <c r="L915" s="59"/>
      <c r="M915" s="61"/>
      <c r="N915" s="60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</row>
    <row r="916" spans="1:27" ht="18" customHeight="1">
      <c r="A916" s="50"/>
      <c r="B916" s="49"/>
      <c r="C916" s="58"/>
      <c r="D916" s="59"/>
      <c r="E916" s="61"/>
      <c r="F916" s="60"/>
      <c r="G916" s="60"/>
      <c r="H916" s="49"/>
      <c r="I916" s="49"/>
      <c r="J916" s="58"/>
      <c r="K916" s="58"/>
      <c r="L916" s="59"/>
      <c r="M916" s="61"/>
      <c r="N916" s="60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</row>
    <row r="917" spans="1:27" ht="18" customHeight="1">
      <c r="A917" s="50"/>
      <c r="B917" s="49"/>
      <c r="C917" s="58"/>
      <c r="D917" s="59"/>
      <c r="E917" s="61"/>
      <c r="F917" s="60"/>
      <c r="G917" s="60"/>
      <c r="H917" s="49"/>
      <c r="I917" s="49"/>
      <c r="J917" s="58"/>
      <c r="K917" s="58"/>
      <c r="L917" s="59"/>
      <c r="M917" s="61"/>
      <c r="N917" s="60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</row>
    <row r="918" spans="1:27" ht="18" customHeight="1">
      <c r="A918" s="50"/>
      <c r="B918" s="49"/>
      <c r="C918" s="58"/>
      <c r="D918" s="59"/>
      <c r="E918" s="61"/>
      <c r="F918" s="60"/>
      <c r="G918" s="60"/>
      <c r="H918" s="49"/>
      <c r="I918" s="49"/>
      <c r="J918" s="58"/>
      <c r="K918" s="58"/>
      <c r="L918" s="59"/>
      <c r="M918" s="61"/>
      <c r="N918" s="60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</row>
    <row r="919" spans="1:27" ht="18" customHeight="1">
      <c r="A919" s="50"/>
      <c r="B919" s="49"/>
      <c r="C919" s="58"/>
      <c r="D919" s="59"/>
      <c r="E919" s="61"/>
      <c r="F919" s="60"/>
      <c r="G919" s="60"/>
      <c r="H919" s="49"/>
      <c r="I919" s="49"/>
      <c r="J919" s="58"/>
      <c r="K919" s="58"/>
      <c r="L919" s="59"/>
      <c r="M919" s="61"/>
      <c r="N919" s="60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</row>
    <row r="920" spans="1:27" ht="18" customHeight="1">
      <c r="A920" s="50"/>
      <c r="B920" s="49"/>
      <c r="C920" s="58"/>
      <c r="D920" s="59"/>
      <c r="E920" s="61"/>
      <c r="F920" s="60"/>
      <c r="G920" s="60"/>
      <c r="H920" s="49"/>
      <c r="I920" s="49"/>
      <c r="J920" s="58"/>
      <c r="K920" s="58"/>
      <c r="L920" s="59"/>
      <c r="M920" s="61"/>
      <c r="N920" s="60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</row>
    <row r="921" spans="1:27" ht="18" customHeight="1">
      <c r="A921" s="50"/>
      <c r="B921" s="49"/>
      <c r="C921" s="58"/>
      <c r="D921" s="59"/>
      <c r="E921" s="61"/>
      <c r="F921" s="60"/>
      <c r="G921" s="60"/>
      <c r="H921" s="49"/>
      <c r="I921" s="49"/>
      <c r="J921" s="58"/>
      <c r="K921" s="58"/>
      <c r="L921" s="59"/>
      <c r="M921" s="61"/>
      <c r="N921" s="60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</row>
    <row r="922" spans="1:27" ht="18" customHeight="1">
      <c r="A922" s="50"/>
      <c r="B922" s="49"/>
      <c r="C922" s="58"/>
      <c r="D922" s="59"/>
      <c r="E922" s="61"/>
      <c r="F922" s="60"/>
      <c r="G922" s="60"/>
      <c r="H922" s="49"/>
      <c r="I922" s="49"/>
      <c r="J922" s="58"/>
      <c r="K922" s="58"/>
      <c r="L922" s="59"/>
      <c r="M922" s="61"/>
      <c r="N922" s="60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</row>
    <row r="923" spans="1:27" ht="18" customHeight="1">
      <c r="A923" s="50"/>
      <c r="B923" s="49"/>
      <c r="C923" s="58"/>
      <c r="D923" s="59"/>
      <c r="E923" s="61"/>
      <c r="F923" s="60"/>
      <c r="G923" s="60"/>
      <c r="H923" s="49"/>
      <c r="I923" s="49"/>
      <c r="J923" s="58"/>
      <c r="K923" s="58"/>
      <c r="L923" s="59"/>
      <c r="M923" s="61"/>
      <c r="N923" s="60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</row>
    <row r="924" spans="1:27" ht="18" customHeight="1">
      <c r="A924" s="50"/>
      <c r="B924" s="49"/>
      <c r="C924" s="58"/>
      <c r="D924" s="59"/>
      <c r="E924" s="61"/>
      <c r="F924" s="60"/>
      <c r="G924" s="60"/>
      <c r="H924" s="49"/>
      <c r="I924" s="49"/>
      <c r="J924" s="58"/>
      <c r="K924" s="58"/>
      <c r="L924" s="59"/>
      <c r="M924" s="61"/>
      <c r="N924" s="60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</row>
    <row r="925" spans="1:27" ht="18" customHeight="1">
      <c r="A925" s="50"/>
      <c r="B925" s="49"/>
      <c r="C925" s="58"/>
      <c r="D925" s="59"/>
      <c r="E925" s="61"/>
      <c r="F925" s="60"/>
      <c r="G925" s="60"/>
      <c r="H925" s="49"/>
      <c r="I925" s="49"/>
      <c r="J925" s="58"/>
      <c r="K925" s="58"/>
      <c r="L925" s="59"/>
      <c r="M925" s="61"/>
      <c r="N925" s="60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</row>
    <row r="926" spans="1:27" ht="18" customHeight="1">
      <c r="A926" s="50"/>
      <c r="B926" s="49"/>
      <c r="C926" s="58"/>
      <c r="D926" s="59"/>
      <c r="E926" s="61"/>
      <c r="F926" s="60"/>
      <c r="G926" s="60"/>
      <c r="H926" s="49"/>
      <c r="I926" s="49"/>
      <c r="J926" s="58"/>
      <c r="K926" s="58"/>
      <c r="L926" s="59"/>
      <c r="M926" s="61"/>
      <c r="N926" s="60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</row>
    <row r="927" spans="1:27" ht="18" customHeight="1">
      <c r="A927" s="50"/>
      <c r="B927" s="49"/>
      <c r="C927" s="58"/>
      <c r="D927" s="59"/>
      <c r="E927" s="61"/>
      <c r="F927" s="60"/>
      <c r="G927" s="60"/>
      <c r="H927" s="49"/>
      <c r="I927" s="49"/>
      <c r="J927" s="58"/>
      <c r="K927" s="58"/>
      <c r="L927" s="59"/>
      <c r="M927" s="61"/>
      <c r="N927" s="60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</row>
    <row r="928" spans="1:27" ht="18" customHeight="1">
      <c r="A928" s="50"/>
      <c r="B928" s="49"/>
      <c r="C928" s="58"/>
      <c r="D928" s="59"/>
      <c r="E928" s="61"/>
      <c r="F928" s="60"/>
      <c r="G928" s="60"/>
      <c r="H928" s="49"/>
      <c r="I928" s="49"/>
      <c r="J928" s="58"/>
      <c r="K928" s="58"/>
      <c r="L928" s="59"/>
      <c r="M928" s="61"/>
      <c r="N928" s="60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</row>
    <row r="929" spans="1:27" ht="18" customHeight="1">
      <c r="A929" s="50"/>
      <c r="B929" s="49"/>
      <c r="C929" s="58"/>
      <c r="D929" s="59"/>
      <c r="E929" s="61"/>
      <c r="F929" s="60"/>
      <c r="G929" s="60"/>
      <c r="H929" s="49"/>
      <c r="I929" s="49"/>
      <c r="J929" s="58"/>
      <c r="K929" s="58"/>
      <c r="L929" s="59"/>
      <c r="M929" s="61"/>
      <c r="N929" s="60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</row>
    <row r="930" spans="1:27" ht="18" customHeight="1">
      <c r="A930" s="50"/>
      <c r="B930" s="49"/>
      <c r="C930" s="58"/>
      <c r="D930" s="59"/>
      <c r="E930" s="61"/>
      <c r="F930" s="60"/>
      <c r="G930" s="60"/>
      <c r="H930" s="49"/>
      <c r="I930" s="49"/>
      <c r="J930" s="58"/>
      <c r="K930" s="58"/>
      <c r="L930" s="59"/>
      <c r="M930" s="61"/>
      <c r="N930" s="60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</row>
    <row r="931" spans="1:27" ht="18" customHeight="1">
      <c r="A931" s="50"/>
      <c r="B931" s="49"/>
      <c r="C931" s="58"/>
      <c r="D931" s="59"/>
      <c r="E931" s="61"/>
      <c r="F931" s="60"/>
      <c r="G931" s="60"/>
      <c r="H931" s="49"/>
      <c r="I931" s="49"/>
      <c r="J931" s="58"/>
      <c r="K931" s="58"/>
      <c r="L931" s="59"/>
      <c r="M931" s="61"/>
      <c r="N931" s="60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</row>
    <row r="932" spans="1:27" ht="18" customHeight="1">
      <c r="A932" s="50"/>
      <c r="B932" s="49"/>
      <c r="C932" s="58"/>
      <c r="D932" s="59"/>
      <c r="E932" s="61"/>
      <c r="F932" s="60"/>
      <c r="G932" s="60"/>
      <c r="H932" s="49"/>
      <c r="I932" s="49"/>
      <c r="J932" s="58"/>
      <c r="K932" s="58"/>
      <c r="L932" s="59"/>
      <c r="M932" s="61"/>
      <c r="N932" s="60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</row>
    <row r="933" spans="1:27" ht="18" customHeight="1">
      <c r="A933" s="50"/>
      <c r="B933" s="49"/>
      <c r="C933" s="58"/>
      <c r="D933" s="59"/>
      <c r="E933" s="61"/>
      <c r="F933" s="60"/>
      <c r="G933" s="60"/>
      <c r="H933" s="49"/>
      <c r="I933" s="49"/>
      <c r="J933" s="58"/>
      <c r="K933" s="58"/>
      <c r="L933" s="59"/>
      <c r="M933" s="61"/>
      <c r="N933" s="60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</row>
    <row r="934" spans="1:27" ht="18" customHeight="1">
      <c r="A934" s="50"/>
      <c r="B934" s="49"/>
      <c r="C934" s="58"/>
      <c r="D934" s="59"/>
      <c r="E934" s="61"/>
      <c r="F934" s="60"/>
      <c r="G934" s="60"/>
      <c r="H934" s="49"/>
      <c r="I934" s="49"/>
      <c r="J934" s="58"/>
      <c r="K934" s="58"/>
      <c r="L934" s="59"/>
      <c r="M934" s="61"/>
      <c r="N934" s="60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</row>
    <row r="935" spans="1:27" ht="18" customHeight="1">
      <c r="A935" s="50"/>
      <c r="B935" s="49"/>
      <c r="C935" s="58"/>
      <c r="D935" s="59"/>
      <c r="E935" s="61"/>
      <c r="F935" s="60"/>
      <c r="G935" s="60"/>
      <c r="H935" s="49"/>
      <c r="I935" s="49"/>
      <c r="J935" s="58"/>
      <c r="K935" s="58"/>
      <c r="L935" s="59"/>
      <c r="M935" s="61"/>
      <c r="N935" s="60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</row>
    <row r="936" spans="1:27" ht="18" customHeight="1">
      <c r="A936" s="50"/>
      <c r="B936" s="49"/>
      <c r="C936" s="58"/>
      <c r="D936" s="59"/>
      <c r="E936" s="61"/>
      <c r="F936" s="60"/>
      <c r="G936" s="60"/>
      <c r="H936" s="49"/>
      <c r="I936" s="49"/>
      <c r="J936" s="58"/>
      <c r="K936" s="58"/>
      <c r="L936" s="59"/>
      <c r="M936" s="61"/>
      <c r="N936" s="60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</row>
    <row r="937" spans="1:27" ht="18" customHeight="1">
      <c r="A937" s="50"/>
      <c r="B937" s="49"/>
      <c r="C937" s="58"/>
      <c r="D937" s="59"/>
      <c r="E937" s="61"/>
      <c r="F937" s="60"/>
      <c r="G937" s="60"/>
      <c r="H937" s="49"/>
      <c r="I937" s="49"/>
      <c r="J937" s="58"/>
      <c r="K937" s="58"/>
      <c r="L937" s="59"/>
      <c r="M937" s="61"/>
      <c r="N937" s="60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</row>
    <row r="938" spans="1:27" ht="18" customHeight="1">
      <c r="A938" s="50"/>
      <c r="B938" s="49"/>
      <c r="C938" s="58"/>
      <c r="D938" s="59"/>
      <c r="E938" s="61"/>
      <c r="F938" s="60"/>
      <c r="G938" s="60"/>
      <c r="H938" s="49"/>
      <c r="I938" s="49"/>
      <c r="J938" s="58"/>
      <c r="K938" s="58"/>
      <c r="L938" s="59"/>
      <c r="M938" s="61"/>
      <c r="N938" s="60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</row>
    <row r="939" spans="1:27" ht="18" customHeight="1">
      <c r="A939" s="50"/>
      <c r="B939" s="49"/>
      <c r="C939" s="58"/>
      <c r="D939" s="59"/>
      <c r="E939" s="61"/>
      <c r="F939" s="60"/>
      <c r="G939" s="60"/>
      <c r="H939" s="49"/>
      <c r="I939" s="49"/>
      <c r="J939" s="58"/>
      <c r="K939" s="58"/>
      <c r="L939" s="59"/>
      <c r="M939" s="61"/>
      <c r="N939" s="60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</row>
    <row r="940" spans="1:27" ht="18" customHeight="1">
      <c r="A940" s="50"/>
      <c r="B940" s="49"/>
      <c r="C940" s="58"/>
      <c r="D940" s="59"/>
      <c r="E940" s="61"/>
      <c r="F940" s="60"/>
      <c r="G940" s="60"/>
      <c r="H940" s="49"/>
      <c r="I940" s="49"/>
      <c r="J940" s="58"/>
      <c r="K940" s="58"/>
      <c r="L940" s="59"/>
      <c r="M940" s="61"/>
      <c r="N940" s="60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</row>
    <row r="941" spans="1:27" ht="18" customHeight="1">
      <c r="A941" s="50"/>
      <c r="B941" s="49"/>
      <c r="C941" s="58"/>
      <c r="D941" s="59"/>
      <c r="E941" s="61"/>
      <c r="F941" s="60"/>
      <c r="G941" s="60"/>
      <c r="H941" s="49"/>
      <c r="I941" s="49"/>
      <c r="J941" s="58"/>
      <c r="K941" s="58"/>
      <c r="L941" s="59"/>
      <c r="M941" s="61"/>
      <c r="N941" s="60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</row>
    <row r="942" spans="1:27" ht="18" customHeight="1">
      <c r="A942" s="50"/>
      <c r="B942" s="49"/>
      <c r="C942" s="58"/>
      <c r="D942" s="59"/>
      <c r="E942" s="61"/>
      <c r="F942" s="60"/>
      <c r="G942" s="60"/>
      <c r="H942" s="49"/>
      <c r="I942" s="49"/>
      <c r="J942" s="58"/>
      <c r="K942" s="58"/>
      <c r="L942" s="59"/>
      <c r="M942" s="61"/>
      <c r="N942" s="60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</row>
    <row r="943" spans="1:27" ht="18" customHeight="1">
      <c r="A943" s="50"/>
      <c r="B943" s="49"/>
      <c r="C943" s="58"/>
      <c r="D943" s="59"/>
      <c r="E943" s="61"/>
      <c r="F943" s="60"/>
      <c r="G943" s="60"/>
      <c r="H943" s="49"/>
      <c r="I943" s="49"/>
      <c r="J943" s="58"/>
      <c r="K943" s="58"/>
      <c r="L943" s="59"/>
      <c r="M943" s="61"/>
      <c r="N943" s="60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</row>
    <row r="944" spans="1:27" ht="18" customHeight="1">
      <c r="A944" s="50"/>
      <c r="B944" s="49"/>
      <c r="C944" s="58"/>
      <c r="D944" s="59"/>
      <c r="E944" s="61"/>
      <c r="F944" s="60"/>
      <c r="G944" s="60"/>
      <c r="H944" s="49"/>
      <c r="I944" s="49"/>
      <c r="J944" s="58"/>
      <c r="K944" s="58"/>
      <c r="L944" s="59"/>
      <c r="M944" s="61"/>
      <c r="N944" s="60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</row>
    <row r="945" spans="1:27" ht="18" customHeight="1">
      <c r="A945" s="50"/>
      <c r="B945" s="49"/>
      <c r="C945" s="58"/>
      <c r="D945" s="59"/>
      <c r="E945" s="61"/>
      <c r="F945" s="60"/>
      <c r="G945" s="60"/>
      <c r="H945" s="49"/>
      <c r="I945" s="49"/>
      <c r="J945" s="58"/>
      <c r="K945" s="58"/>
      <c r="L945" s="59"/>
      <c r="M945" s="61"/>
      <c r="N945" s="60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</row>
    <row r="946" spans="1:27" ht="18" customHeight="1">
      <c r="A946" s="50"/>
      <c r="B946" s="49"/>
      <c r="C946" s="58"/>
      <c r="D946" s="59"/>
      <c r="E946" s="61"/>
      <c r="F946" s="60"/>
      <c r="G946" s="60"/>
      <c r="H946" s="49"/>
      <c r="I946" s="49"/>
      <c r="J946" s="58"/>
      <c r="K946" s="58"/>
      <c r="L946" s="59"/>
      <c r="M946" s="61"/>
      <c r="N946" s="60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</row>
    <row r="947" spans="1:27" ht="18" customHeight="1">
      <c r="A947" s="50"/>
      <c r="B947" s="49"/>
      <c r="C947" s="58"/>
      <c r="D947" s="59"/>
      <c r="E947" s="61"/>
      <c r="F947" s="60"/>
      <c r="G947" s="60"/>
      <c r="H947" s="49"/>
      <c r="I947" s="49"/>
      <c r="J947" s="58"/>
      <c r="K947" s="58"/>
      <c r="L947" s="59"/>
      <c r="M947" s="61"/>
      <c r="N947" s="60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</row>
    <row r="948" spans="1:27" ht="18" customHeight="1">
      <c r="A948" s="50"/>
      <c r="B948" s="49"/>
      <c r="C948" s="58"/>
      <c r="D948" s="59"/>
      <c r="E948" s="61"/>
      <c r="F948" s="60"/>
      <c r="G948" s="60"/>
      <c r="H948" s="49"/>
      <c r="I948" s="49"/>
      <c r="J948" s="58"/>
      <c r="K948" s="58"/>
      <c r="L948" s="59"/>
      <c r="M948" s="61"/>
      <c r="N948" s="60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</row>
    <row r="949" spans="1:27" ht="18" customHeight="1">
      <c r="A949" s="50"/>
      <c r="B949" s="49"/>
      <c r="C949" s="58"/>
      <c r="D949" s="59"/>
      <c r="E949" s="61"/>
      <c r="F949" s="60"/>
      <c r="G949" s="60"/>
      <c r="H949" s="49"/>
      <c r="I949" s="49"/>
      <c r="J949" s="58"/>
      <c r="K949" s="58"/>
      <c r="L949" s="59"/>
      <c r="M949" s="61"/>
      <c r="N949" s="60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</row>
    <row r="950" spans="1:27" ht="18" customHeight="1">
      <c r="A950" s="50"/>
      <c r="B950" s="49"/>
      <c r="C950" s="58"/>
      <c r="D950" s="59"/>
      <c r="E950" s="61"/>
      <c r="F950" s="60"/>
      <c r="G950" s="60"/>
      <c r="H950" s="49"/>
      <c r="I950" s="49"/>
      <c r="J950" s="58"/>
      <c r="K950" s="58"/>
      <c r="L950" s="59"/>
      <c r="M950" s="61"/>
      <c r="N950" s="60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</row>
    <row r="951" spans="1:27" ht="18" customHeight="1">
      <c r="A951" s="50"/>
      <c r="B951" s="49"/>
      <c r="C951" s="58"/>
      <c r="D951" s="59"/>
      <c r="E951" s="61"/>
      <c r="F951" s="60"/>
      <c r="G951" s="60"/>
      <c r="H951" s="49"/>
      <c r="I951" s="49"/>
      <c r="J951" s="58"/>
      <c r="K951" s="58"/>
      <c r="L951" s="59"/>
      <c r="M951" s="61"/>
      <c r="N951" s="60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</row>
    <row r="952" spans="1:27" ht="18" customHeight="1">
      <c r="A952" s="50"/>
      <c r="B952" s="49"/>
      <c r="C952" s="58"/>
      <c r="D952" s="59"/>
      <c r="E952" s="61"/>
      <c r="F952" s="60"/>
      <c r="G952" s="60"/>
      <c r="H952" s="49"/>
      <c r="I952" s="49"/>
      <c r="J952" s="58"/>
      <c r="K952" s="58"/>
      <c r="L952" s="59"/>
      <c r="M952" s="61"/>
      <c r="N952" s="60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</row>
    <row r="953" spans="1:27" ht="18" customHeight="1">
      <c r="A953" s="50"/>
      <c r="B953" s="49"/>
      <c r="C953" s="58"/>
      <c r="D953" s="59"/>
      <c r="E953" s="61"/>
      <c r="F953" s="60"/>
      <c r="G953" s="60"/>
      <c r="H953" s="49"/>
      <c r="I953" s="49"/>
      <c r="J953" s="58"/>
      <c r="K953" s="58"/>
      <c r="L953" s="59"/>
      <c r="M953" s="61"/>
      <c r="N953" s="60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</row>
    <row r="954" spans="1:27" ht="18" customHeight="1">
      <c r="A954" s="50"/>
      <c r="B954" s="49"/>
      <c r="C954" s="58"/>
      <c r="D954" s="59"/>
      <c r="E954" s="61"/>
      <c r="F954" s="60"/>
      <c r="G954" s="60"/>
      <c r="H954" s="49"/>
      <c r="I954" s="49"/>
      <c r="J954" s="58"/>
      <c r="K954" s="58"/>
      <c r="L954" s="59"/>
      <c r="M954" s="61"/>
      <c r="N954" s="60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</row>
    <row r="955" spans="1:27" ht="18" customHeight="1">
      <c r="A955" s="50"/>
      <c r="B955" s="49"/>
      <c r="C955" s="58"/>
      <c r="D955" s="59"/>
      <c r="E955" s="61"/>
      <c r="F955" s="60"/>
      <c r="G955" s="60"/>
      <c r="H955" s="49"/>
      <c r="I955" s="49"/>
      <c r="J955" s="58"/>
      <c r="K955" s="58"/>
      <c r="L955" s="59"/>
      <c r="M955" s="61"/>
      <c r="N955" s="60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</row>
    <row r="956" spans="1:27" ht="18" customHeight="1">
      <c r="A956" s="50"/>
      <c r="B956" s="49"/>
      <c r="C956" s="58"/>
      <c r="D956" s="59"/>
      <c r="E956" s="61"/>
      <c r="F956" s="60"/>
      <c r="G956" s="60"/>
      <c r="H956" s="49"/>
      <c r="I956" s="49"/>
      <c r="J956" s="58"/>
      <c r="K956" s="58"/>
      <c r="L956" s="59"/>
      <c r="M956" s="61"/>
      <c r="N956" s="60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</row>
    <row r="957" spans="1:27" ht="18" customHeight="1">
      <c r="A957" s="50"/>
      <c r="B957" s="49"/>
      <c r="C957" s="58"/>
      <c r="D957" s="59"/>
      <c r="E957" s="61"/>
      <c r="F957" s="60"/>
      <c r="G957" s="60"/>
      <c r="H957" s="49"/>
      <c r="I957" s="49"/>
      <c r="J957" s="58"/>
      <c r="K957" s="58"/>
      <c r="L957" s="59"/>
      <c r="M957" s="61"/>
      <c r="N957" s="60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</row>
    <row r="958" spans="1:27" ht="18" customHeight="1">
      <c r="A958" s="50"/>
      <c r="B958" s="49"/>
      <c r="C958" s="58"/>
      <c r="D958" s="59"/>
      <c r="E958" s="61"/>
      <c r="F958" s="60"/>
      <c r="G958" s="60"/>
      <c r="H958" s="49"/>
      <c r="I958" s="49"/>
      <c r="J958" s="58"/>
      <c r="K958" s="58"/>
      <c r="L958" s="59"/>
      <c r="M958" s="61"/>
      <c r="N958" s="60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</row>
    <row r="959" spans="1:27" ht="18" customHeight="1">
      <c r="A959" s="50"/>
      <c r="B959" s="49"/>
      <c r="C959" s="58"/>
      <c r="D959" s="59"/>
      <c r="E959" s="61"/>
      <c r="F959" s="60"/>
      <c r="G959" s="60"/>
      <c r="H959" s="49"/>
      <c r="I959" s="49"/>
      <c r="J959" s="58"/>
      <c r="K959" s="58"/>
      <c r="L959" s="59"/>
      <c r="M959" s="61"/>
      <c r="N959" s="60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</row>
    <row r="960" spans="1:27" ht="18" customHeight="1">
      <c r="A960" s="50"/>
      <c r="B960" s="49"/>
      <c r="C960" s="58"/>
      <c r="D960" s="59"/>
      <c r="E960" s="61"/>
      <c r="F960" s="60"/>
      <c r="G960" s="60"/>
      <c r="H960" s="49"/>
      <c r="I960" s="49"/>
      <c r="J960" s="58"/>
      <c r="K960" s="58"/>
      <c r="L960" s="59"/>
      <c r="M960" s="61"/>
      <c r="N960" s="60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</row>
    <row r="961" spans="1:27" ht="18" customHeight="1">
      <c r="A961" s="50"/>
      <c r="B961" s="49"/>
      <c r="C961" s="58"/>
      <c r="D961" s="59"/>
      <c r="E961" s="61"/>
      <c r="F961" s="60"/>
      <c r="G961" s="60"/>
      <c r="H961" s="49"/>
      <c r="I961" s="49"/>
      <c r="J961" s="58"/>
      <c r="K961" s="58"/>
      <c r="L961" s="59"/>
      <c r="M961" s="61"/>
      <c r="N961" s="60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</row>
    <row r="962" spans="1:27" ht="18" customHeight="1">
      <c r="A962" s="50"/>
      <c r="B962" s="49"/>
      <c r="C962" s="58"/>
      <c r="D962" s="59"/>
      <c r="E962" s="61"/>
      <c r="F962" s="60"/>
      <c r="G962" s="60"/>
      <c r="H962" s="49"/>
      <c r="I962" s="49"/>
      <c r="J962" s="58"/>
      <c r="K962" s="58"/>
      <c r="L962" s="59"/>
      <c r="M962" s="61"/>
      <c r="N962" s="60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</row>
    <row r="963" spans="1:27" ht="18" customHeight="1">
      <c r="A963" s="50"/>
      <c r="B963" s="49"/>
      <c r="C963" s="58"/>
      <c r="D963" s="59"/>
      <c r="E963" s="61"/>
      <c r="F963" s="60"/>
      <c r="G963" s="60"/>
      <c r="H963" s="49"/>
      <c r="I963" s="49"/>
      <c r="J963" s="58"/>
      <c r="K963" s="58"/>
      <c r="L963" s="59"/>
      <c r="M963" s="61"/>
      <c r="N963" s="60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</row>
    <row r="964" spans="1:27" ht="18" customHeight="1">
      <c r="A964" s="50"/>
      <c r="B964" s="49"/>
      <c r="C964" s="58"/>
      <c r="D964" s="59"/>
      <c r="E964" s="61"/>
      <c r="F964" s="60"/>
      <c r="G964" s="60"/>
      <c r="H964" s="49"/>
      <c r="I964" s="49"/>
      <c r="J964" s="58"/>
      <c r="K964" s="58"/>
      <c r="L964" s="59"/>
      <c r="M964" s="61"/>
      <c r="N964" s="60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</row>
    <row r="965" spans="1:27" ht="18" customHeight="1">
      <c r="A965" s="50"/>
      <c r="B965" s="49"/>
      <c r="C965" s="58"/>
      <c r="D965" s="59"/>
      <c r="E965" s="61"/>
      <c r="F965" s="60"/>
      <c r="G965" s="60"/>
      <c r="H965" s="49"/>
      <c r="I965" s="49"/>
      <c r="J965" s="58"/>
      <c r="K965" s="58"/>
      <c r="L965" s="59"/>
      <c r="M965" s="61"/>
      <c r="N965" s="60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</row>
    <row r="966" spans="1:27" ht="18" customHeight="1">
      <c r="A966" s="50"/>
      <c r="B966" s="49"/>
      <c r="C966" s="58"/>
      <c r="D966" s="59"/>
      <c r="E966" s="61"/>
      <c r="F966" s="60"/>
      <c r="G966" s="60"/>
      <c r="H966" s="49"/>
      <c r="I966" s="49"/>
      <c r="J966" s="58"/>
      <c r="K966" s="58"/>
      <c r="L966" s="59"/>
      <c r="M966" s="61"/>
      <c r="N966" s="60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</row>
    <row r="967" spans="1:27" ht="18" customHeight="1">
      <c r="A967" s="50"/>
      <c r="B967" s="49"/>
      <c r="C967" s="58"/>
      <c r="D967" s="59"/>
      <c r="E967" s="61"/>
      <c r="F967" s="60"/>
      <c r="G967" s="60"/>
      <c r="H967" s="49"/>
      <c r="I967" s="49"/>
      <c r="J967" s="58"/>
      <c r="K967" s="58"/>
      <c r="L967" s="59"/>
      <c r="M967" s="61"/>
      <c r="N967" s="60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</row>
    <row r="968" spans="1:27" ht="18" customHeight="1">
      <c r="A968" s="50"/>
      <c r="B968" s="49"/>
      <c r="C968" s="58"/>
      <c r="D968" s="59"/>
      <c r="E968" s="61"/>
      <c r="F968" s="60"/>
      <c r="G968" s="60"/>
      <c r="H968" s="49"/>
      <c r="I968" s="49"/>
      <c r="J968" s="58"/>
      <c r="K968" s="58"/>
      <c r="L968" s="59"/>
      <c r="M968" s="61"/>
      <c r="N968" s="60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</row>
    <row r="969" spans="1:27" ht="18" customHeight="1">
      <c r="A969" s="50"/>
      <c r="B969" s="49"/>
      <c r="C969" s="58"/>
      <c r="D969" s="59"/>
      <c r="E969" s="61"/>
      <c r="F969" s="60"/>
      <c r="G969" s="60"/>
      <c r="H969" s="49"/>
      <c r="I969" s="49"/>
      <c r="J969" s="58"/>
      <c r="K969" s="58"/>
      <c r="L969" s="59"/>
      <c r="M969" s="61"/>
      <c r="N969" s="60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</row>
    <row r="970" spans="1:27" ht="18" customHeight="1">
      <c r="A970" s="50"/>
      <c r="B970" s="49"/>
      <c r="C970" s="58"/>
      <c r="D970" s="59"/>
      <c r="E970" s="61"/>
      <c r="F970" s="60"/>
      <c r="G970" s="60"/>
      <c r="H970" s="49"/>
      <c r="I970" s="49"/>
      <c r="J970" s="58"/>
      <c r="K970" s="58"/>
      <c r="L970" s="59"/>
      <c r="M970" s="61"/>
      <c r="N970" s="60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</row>
    <row r="971" spans="1:27" ht="18" customHeight="1">
      <c r="A971" s="50"/>
      <c r="B971" s="49"/>
      <c r="C971" s="58"/>
      <c r="D971" s="59"/>
      <c r="E971" s="61"/>
      <c r="F971" s="60"/>
      <c r="G971" s="60"/>
      <c r="H971" s="49"/>
      <c r="I971" s="49"/>
      <c r="J971" s="58"/>
      <c r="K971" s="58"/>
      <c r="L971" s="59"/>
      <c r="M971" s="61"/>
      <c r="N971" s="60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</row>
    <row r="972" spans="1:27" ht="18" customHeight="1">
      <c r="A972" s="50"/>
      <c r="B972" s="49"/>
      <c r="C972" s="58"/>
      <c r="D972" s="59"/>
      <c r="E972" s="61"/>
      <c r="F972" s="60"/>
      <c r="G972" s="60"/>
      <c r="H972" s="49"/>
      <c r="I972" s="49"/>
      <c r="J972" s="58"/>
      <c r="K972" s="58"/>
      <c r="L972" s="59"/>
      <c r="M972" s="61"/>
      <c r="N972" s="60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</row>
    <row r="973" spans="1:27" ht="18" customHeight="1">
      <c r="A973" s="50"/>
      <c r="B973" s="49"/>
      <c r="C973" s="58"/>
      <c r="D973" s="59"/>
      <c r="E973" s="61"/>
      <c r="F973" s="60"/>
      <c r="G973" s="60"/>
      <c r="H973" s="49"/>
      <c r="I973" s="49"/>
      <c r="J973" s="58"/>
      <c r="K973" s="58"/>
      <c r="L973" s="59"/>
      <c r="M973" s="61"/>
      <c r="N973" s="60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</row>
    <row r="974" spans="1:27" ht="18" customHeight="1">
      <c r="A974" s="50"/>
      <c r="B974" s="49"/>
      <c r="C974" s="58"/>
      <c r="D974" s="59"/>
      <c r="E974" s="61"/>
      <c r="F974" s="60"/>
      <c r="G974" s="60"/>
      <c r="H974" s="49"/>
      <c r="I974" s="49"/>
      <c r="J974" s="58"/>
      <c r="K974" s="58"/>
      <c r="L974" s="59"/>
      <c r="M974" s="61"/>
      <c r="N974" s="60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</row>
    <row r="975" spans="1:27" ht="18" customHeight="1">
      <c r="A975" s="50"/>
      <c r="B975" s="49"/>
      <c r="C975" s="58"/>
      <c r="D975" s="59"/>
      <c r="E975" s="61"/>
      <c r="F975" s="60"/>
      <c r="G975" s="60"/>
      <c r="H975" s="49"/>
      <c r="I975" s="49"/>
      <c r="J975" s="58"/>
      <c r="K975" s="58"/>
      <c r="L975" s="59"/>
      <c r="M975" s="61"/>
      <c r="N975" s="60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</row>
    <row r="976" spans="1:27" ht="18" customHeight="1">
      <c r="A976" s="50"/>
      <c r="B976" s="49"/>
      <c r="C976" s="58"/>
      <c r="D976" s="59"/>
      <c r="E976" s="61"/>
      <c r="F976" s="60"/>
      <c r="G976" s="60"/>
      <c r="H976" s="49"/>
      <c r="I976" s="49"/>
      <c r="J976" s="58"/>
      <c r="K976" s="58"/>
      <c r="L976" s="59"/>
      <c r="M976" s="61"/>
      <c r="N976" s="60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</row>
    <row r="977" spans="1:27" ht="18" customHeight="1">
      <c r="A977" s="50"/>
      <c r="B977" s="49"/>
      <c r="C977" s="58"/>
      <c r="D977" s="59"/>
      <c r="E977" s="61"/>
      <c r="F977" s="60"/>
      <c r="G977" s="60"/>
      <c r="H977" s="49"/>
      <c r="I977" s="49"/>
      <c r="J977" s="58"/>
      <c r="K977" s="58"/>
      <c r="L977" s="59"/>
      <c r="M977" s="61"/>
      <c r="N977" s="60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</row>
    <row r="978" spans="1:27" ht="18" customHeight="1">
      <c r="A978" s="50"/>
      <c r="B978" s="49"/>
      <c r="C978" s="58"/>
      <c r="D978" s="59"/>
      <c r="E978" s="61"/>
      <c r="F978" s="60"/>
      <c r="G978" s="60"/>
      <c r="H978" s="49"/>
      <c r="I978" s="49"/>
      <c r="J978" s="58"/>
      <c r="K978" s="58"/>
      <c r="L978" s="59"/>
      <c r="M978" s="61"/>
      <c r="N978" s="60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</row>
    <row r="979" spans="1:27" ht="18" customHeight="1">
      <c r="A979" s="50"/>
      <c r="B979" s="49"/>
      <c r="C979" s="58"/>
      <c r="D979" s="59"/>
      <c r="E979" s="61"/>
      <c r="F979" s="60"/>
      <c r="G979" s="60"/>
      <c r="H979" s="49"/>
      <c r="I979" s="49"/>
      <c r="J979" s="58"/>
      <c r="K979" s="58"/>
      <c r="L979" s="59"/>
      <c r="M979" s="61"/>
      <c r="N979" s="60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</row>
    <row r="980" spans="1:27" ht="18" customHeight="1">
      <c r="A980" s="50"/>
      <c r="B980" s="49"/>
      <c r="C980" s="58"/>
      <c r="D980" s="59"/>
      <c r="E980" s="61"/>
      <c r="F980" s="60"/>
      <c r="G980" s="60"/>
      <c r="H980" s="49"/>
      <c r="I980" s="49"/>
      <c r="J980" s="58"/>
      <c r="K980" s="58"/>
      <c r="L980" s="59"/>
      <c r="M980" s="61"/>
      <c r="N980" s="60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</row>
    <row r="981" spans="1:27" ht="18" customHeight="1">
      <c r="A981" s="50"/>
      <c r="B981" s="49"/>
      <c r="C981" s="58"/>
      <c r="D981" s="59"/>
      <c r="E981" s="61"/>
      <c r="F981" s="60"/>
      <c r="G981" s="60"/>
      <c r="H981" s="49"/>
      <c r="I981" s="49"/>
      <c r="J981" s="58"/>
      <c r="K981" s="58"/>
      <c r="L981" s="59"/>
      <c r="M981" s="61"/>
      <c r="N981" s="60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</row>
    <row r="982" spans="1:27" ht="18" customHeight="1">
      <c r="A982" s="50"/>
      <c r="B982" s="49"/>
      <c r="C982" s="58"/>
      <c r="D982" s="59"/>
      <c r="E982" s="61"/>
      <c r="F982" s="60"/>
      <c r="G982" s="60"/>
      <c r="H982" s="49"/>
      <c r="I982" s="49"/>
      <c r="J982" s="58"/>
      <c r="K982" s="58"/>
      <c r="L982" s="59"/>
      <c r="M982" s="61"/>
      <c r="N982" s="60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</row>
    <row r="983" spans="1:27" ht="18" customHeight="1">
      <c r="A983" s="50"/>
      <c r="B983" s="49"/>
      <c r="C983" s="58"/>
      <c r="D983" s="59"/>
      <c r="E983" s="61"/>
      <c r="F983" s="60"/>
      <c r="G983" s="60"/>
      <c r="H983" s="49"/>
      <c r="I983" s="49"/>
      <c r="J983" s="58"/>
      <c r="K983" s="58"/>
      <c r="L983" s="59"/>
      <c r="M983" s="61"/>
      <c r="N983" s="60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</row>
    <row r="984" spans="1:27" ht="18" customHeight="1">
      <c r="A984" s="50"/>
      <c r="B984" s="49"/>
      <c r="C984" s="58"/>
      <c r="D984" s="59"/>
      <c r="E984" s="61"/>
      <c r="F984" s="60"/>
      <c r="G984" s="60"/>
      <c r="H984" s="49"/>
      <c r="I984" s="49"/>
      <c r="J984" s="58"/>
      <c r="K984" s="58"/>
      <c r="L984" s="59"/>
      <c r="M984" s="61"/>
      <c r="N984" s="60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</row>
    <row r="985" spans="1:27" ht="18" customHeight="1">
      <c r="A985" s="50"/>
      <c r="B985" s="49"/>
      <c r="C985" s="58"/>
      <c r="D985" s="59"/>
      <c r="E985" s="61"/>
      <c r="F985" s="60"/>
      <c r="G985" s="60"/>
      <c r="H985" s="49"/>
      <c r="I985" s="49"/>
      <c r="J985" s="58"/>
      <c r="K985" s="58"/>
      <c r="L985" s="59"/>
      <c r="M985" s="61"/>
      <c r="N985" s="60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</row>
    <row r="986" spans="1:27" ht="18" customHeight="1">
      <c r="A986" s="50"/>
      <c r="B986" s="49"/>
      <c r="C986" s="58"/>
      <c r="D986" s="59"/>
      <c r="E986" s="61"/>
      <c r="F986" s="60"/>
      <c r="G986" s="60"/>
      <c r="H986" s="49"/>
      <c r="I986" s="49"/>
      <c r="J986" s="58"/>
      <c r="K986" s="58"/>
      <c r="L986" s="59"/>
      <c r="M986" s="61"/>
      <c r="N986" s="60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</row>
    <row r="987" spans="1:27" ht="18" customHeight="1">
      <c r="A987" s="50"/>
      <c r="B987" s="49"/>
      <c r="C987" s="58"/>
      <c r="D987" s="59"/>
      <c r="E987" s="61"/>
      <c r="F987" s="60"/>
      <c r="G987" s="60"/>
      <c r="H987" s="49"/>
      <c r="I987" s="49"/>
      <c r="J987" s="58"/>
      <c r="K987" s="58"/>
      <c r="L987" s="59"/>
      <c r="M987" s="61"/>
      <c r="N987" s="60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</row>
    <row r="988" spans="1:27" ht="18" customHeight="1">
      <c r="A988" s="50"/>
      <c r="B988" s="49"/>
      <c r="C988" s="58"/>
      <c r="D988" s="59"/>
      <c r="E988" s="61"/>
      <c r="F988" s="60"/>
      <c r="G988" s="60"/>
      <c r="H988" s="49"/>
      <c r="I988" s="49"/>
      <c r="J988" s="58"/>
      <c r="K988" s="58"/>
      <c r="L988" s="59"/>
      <c r="M988" s="61"/>
      <c r="N988" s="60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</row>
    <row r="989" spans="1:27" ht="18" customHeight="1">
      <c r="A989" s="50"/>
      <c r="B989" s="49"/>
      <c r="C989" s="58"/>
      <c r="D989" s="59"/>
      <c r="E989" s="61"/>
      <c r="F989" s="60"/>
      <c r="G989" s="60"/>
      <c r="H989" s="49"/>
      <c r="I989" s="49"/>
      <c r="J989" s="58"/>
      <c r="K989" s="58"/>
      <c r="L989" s="59"/>
      <c r="M989" s="61"/>
      <c r="N989" s="60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</row>
    <row r="990" spans="1:27" ht="18" customHeight="1">
      <c r="A990" s="50"/>
      <c r="B990" s="49"/>
      <c r="C990" s="58"/>
      <c r="D990" s="59"/>
      <c r="E990" s="61"/>
      <c r="F990" s="60"/>
      <c r="G990" s="60"/>
      <c r="H990" s="49"/>
      <c r="I990" s="49"/>
      <c r="J990" s="58"/>
      <c r="K990" s="58"/>
      <c r="L990" s="59"/>
      <c r="M990" s="61"/>
      <c r="N990" s="60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</row>
    <row r="991" spans="1:27" ht="18" customHeight="1">
      <c r="A991" s="50"/>
      <c r="B991" s="49"/>
      <c r="C991" s="58"/>
      <c r="D991" s="59"/>
      <c r="E991" s="61"/>
      <c r="F991" s="60"/>
      <c r="G991" s="60"/>
      <c r="H991" s="49"/>
      <c r="I991" s="49"/>
      <c r="J991" s="58"/>
      <c r="K991" s="58"/>
      <c r="L991" s="59"/>
      <c r="M991" s="61"/>
      <c r="N991" s="60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</row>
    <row r="992" spans="1:27" ht="18" customHeight="1">
      <c r="A992" s="50"/>
      <c r="B992" s="49"/>
      <c r="C992" s="58"/>
      <c r="D992" s="59"/>
      <c r="E992" s="61"/>
      <c r="F992" s="60"/>
      <c r="G992" s="60"/>
      <c r="H992" s="49"/>
      <c r="I992" s="49"/>
      <c r="J992" s="58"/>
      <c r="K992" s="58"/>
      <c r="L992" s="59"/>
      <c r="M992" s="61"/>
      <c r="N992" s="60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</row>
    <row r="993" spans="1:27" ht="18" customHeight="1">
      <c r="A993" s="50"/>
      <c r="B993" s="49"/>
      <c r="C993" s="58"/>
      <c r="D993" s="59"/>
      <c r="E993" s="61"/>
      <c r="F993" s="60"/>
      <c r="G993" s="60"/>
      <c r="H993" s="49"/>
      <c r="I993" s="49"/>
      <c r="J993" s="58"/>
      <c r="K993" s="58"/>
      <c r="L993" s="59"/>
      <c r="M993" s="61"/>
      <c r="N993" s="60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</row>
    <row r="994" spans="1:27" ht="18" customHeight="1">
      <c r="A994" s="50"/>
      <c r="B994" s="49"/>
      <c r="C994" s="58"/>
      <c r="D994" s="59"/>
      <c r="E994" s="61"/>
      <c r="F994" s="60"/>
      <c r="G994" s="60"/>
      <c r="H994" s="49"/>
      <c r="I994" s="49"/>
      <c r="J994" s="58"/>
      <c r="K994" s="58"/>
      <c r="L994" s="59"/>
      <c r="M994" s="61"/>
      <c r="N994" s="60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</row>
    <row r="995" spans="1:27" ht="18" customHeight="1">
      <c r="A995" s="50"/>
      <c r="B995" s="49"/>
      <c r="C995" s="58"/>
      <c r="D995" s="59"/>
      <c r="E995" s="61"/>
      <c r="F995" s="60"/>
      <c r="G995" s="60"/>
      <c r="H995" s="49"/>
      <c r="I995" s="49"/>
      <c r="J995" s="58"/>
      <c r="K995" s="58"/>
      <c r="L995" s="59"/>
      <c r="M995" s="61"/>
      <c r="N995" s="60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</row>
    <row r="996" spans="1:27" ht="18" customHeight="1">
      <c r="A996" s="50"/>
      <c r="B996" s="49"/>
      <c r="C996" s="58"/>
      <c r="D996" s="59"/>
      <c r="E996" s="61"/>
      <c r="F996" s="60"/>
      <c r="G996" s="60"/>
      <c r="H996" s="49"/>
      <c r="I996" s="49"/>
      <c r="J996" s="58"/>
      <c r="K996" s="58"/>
      <c r="L996" s="59"/>
      <c r="M996" s="61"/>
      <c r="N996" s="60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</row>
    <row r="997" spans="1:27" ht="18" customHeight="1">
      <c r="A997" s="50"/>
      <c r="B997" s="49"/>
      <c r="C997" s="58"/>
      <c r="D997" s="59"/>
      <c r="E997" s="61"/>
      <c r="F997" s="60"/>
      <c r="G997" s="60"/>
      <c r="H997" s="49"/>
      <c r="I997" s="49"/>
      <c r="J997" s="58"/>
      <c r="K997" s="58"/>
      <c r="L997" s="59"/>
      <c r="M997" s="61"/>
      <c r="N997" s="60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</row>
    <row r="998" spans="1:27" ht="18" customHeight="1">
      <c r="A998" s="50"/>
      <c r="B998" s="49"/>
      <c r="C998" s="58"/>
      <c r="D998" s="59"/>
      <c r="E998" s="61"/>
      <c r="F998" s="60"/>
      <c r="G998" s="60"/>
      <c r="H998" s="49"/>
      <c r="I998" s="49"/>
      <c r="J998" s="58"/>
      <c r="K998" s="58"/>
      <c r="L998" s="59"/>
      <c r="M998" s="61"/>
      <c r="N998" s="60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</row>
    <row r="999" spans="1:27" ht="18" customHeight="1">
      <c r="A999" s="50"/>
      <c r="B999" s="49"/>
      <c r="C999" s="58"/>
      <c r="D999" s="59"/>
      <c r="E999" s="61"/>
      <c r="F999" s="60"/>
      <c r="G999" s="60"/>
      <c r="H999" s="49"/>
      <c r="I999" s="49"/>
      <c r="J999" s="58"/>
      <c r="K999" s="58"/>
      <c r="L999" s="59"/>
      <c r="M999" s="61"/>
      <c r="N999" s="60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</row>
    <row r="1000" spans="1:27" ht="18" customHeight="1">
      <c r="A1000" s="50"/>
      <c r="B1000" s="49"/>
      <c r="C1000" s="58"/>
      <c r="D1000" s="59"/>
      <c r="E1000" s="61"/>
      <c r="F1000" s="60"/>
      <c r="G1000" s="60"/>
      <c r="H1000" s="49"/>
      <c r="I1000" s="49"/>
      <c r="J1000" s="58"/>
      <c r="K1000" s="58"/>
      <c r="L1000" s="59"/>
      <c r="M1000" s="61"/>
      <c r="N1000" s="60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</row>
    <row r="1001" spans="1:27" ht="18" customHeight="1">
      <c r="A1001" s="50"/>
      <c r="B1001" s="49"/>
      <c r="C1001" s="58"/>
      <c r="D1001" s="59"/>
      <c r="E1001" s="61"/>
      <c r="F1001" s="60"/>
      <c r="G1001" s="60"/>
      <c r="H1001" s="49"/>
      <c r="I1001" s="49"/>
      <c r="J1001" s="58"/>
      <c r="K1001" s="58"/>
      <c r="L1001" s="59"/>
      <c r="M1001" s="61"/>
      <c r="N1001" s="60"/>
      <c r="O1001" s="49"/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</row>
    <row r="1002" spans="1:27" ht="15" customHeight="1">
      <c r="B1002" s="49"/>
      <c r="C1002" s="58"/>
      <c r="D1002" s="59"/>
      <c r="E1002" s="61"/>
      <c r="F1002" s="60"/>
      <c r="I1002" s="49"/>
      <c r="J1002" s="58"/>
      <c r="K1002" s="58"/>
      <c r="L1002" s="59"/>
      <c r="M1002" s="61"/>
      <c r="N1002" s="60"/>
      <c r="Q1002" s="49"/>
      <c r="R1002" s="49"/>
    </row>
    <row r="1003" spans="1:27" ht="15" customHeight="1">
      <c r="B1003" s="49"/>
      <c r="C1003" s="58"/>
      <c r="D1003" s="59"/>
      <c r="E1003" s="61"/>
      <c r="F1003" s="60"/>
      <c r="I1003" s="49"/>
      <c r="J1003" s="58"/>
      <c r="K1003" s="58"/>
      <c r="L1003" s="59"/>
      <c r="M1003" s="61"/>
      <c r="N1003" s="60"/>
      <c r="Q1003" s="49"/>
      <c r="R1003" s="49"/>
    </row>
    <row r="1004" spans="1:27" ht="15" customHeight="1">
      <c r="B1004" s="49"/>
      <c r="C1004" s="58"/>
      <c r="D1004" s="59"/>
      <c r="E1004" s="61"/>
      <c r="F1004" s="60"/>
      <c r="I1004" s="49"/>
      <c r="J1004" s="58"/>
      <c r="K1004" s="58"/>
      <c r="L1004" s="59"/>
      <c r="M1004" s="61"/>
      <c r="N1004" s="60"/>
      <c r="Q1004" s="49"/>
      <c r="R1004" s="49"/>
    </row>
    <row r="1005" spans="1:27" ht="15" customHeight="1">
      <c r="B1005" s="49"/>
      <c r="C1005" s="58"/>
      <c r="D1005" s="59"/>
      <c r="E1005" s="61"/>
      <c r="F1005" s="60"/>
      <c r="I1005" s="49"/>
      <c r="J1005" s="58"/>
      <c r="K1005" s="58"/>
      <c r="L1005" s="59"/>
      <c r="M1005" s="61"/>
      <c r="N1005" s="60"/>
    </row>
    <row r="1006" spans="1:27" ht="15" customHeight="1">
      <c r="B1006" s="49"/>
      <c r="C1006" s="58"/>
      <c r="D1006" s="59"/>
      <c r="E1006" s="61"/>
      <c r="F1006" s="60"/>
      <c r="I1006" s="49"/>
      <c r="J1006" s="58"/>
      <c r="K1006" s="58"/>
      <c r="L1006" s="59"/>
      <c r="M1006" s="61"/>
      <c r="N1006" s="60"/>
    </row>
    <row r="1007" spans="1:27" ht="15" customHeight="1">
      <c r="B1007" s="49"/>
      <c r="C1007" s="58"/>
      <c r="D1007" s="59"/>
      <c r="E1007" s="61"/>
      <c r="F1007" s="60"/>
      <c r="K1007" s="3"/>
    </row>
    <row r="1008" spans="1:27" ht="15" customHeight="1">
      <c r="B1008" s="49"/>
      <c r="C1008" s="58"/>
      <c r="D1008" s="59"/>
      <c r="E1008" s="61"/>
      <c r="F1008" s="60"/>
      <c r="K1008" s="3"/>
    </row>
    <row r="1009" spans="2:11" ht="15" customHeight="1">
      <c r="B1009" s="49"/>
      <c r="C1009" s="58"/>
      <c r="D1009" s="59"/>
      <c r="E1009" s="61"/>
      <c r="F1009" s="60"/>
      <c r="K1009" s="3"/>
    </row>
    <row r="1010" spans="2:11" ht="15" customHeight="1">
      <c r="B1010" s="49"/>
      <c r="C1010" s="58"/>
      <c r="D1010" s="59"/>
      <c r="E1010" s="61"/>
      <c r="F1010" s="60"/>
    </row>
    <row r="1011" spans="2:11" ht="15" customHeight="1">
      <c r="B1011" s="49"/>
      <c r="C1011" s="58"/>
      <c r="D1011" s="59"/>
      <c r="E1011" s="61"/>
      <c r="F1011" s="60"/>
    </row>
    <row r="1012" spans="2:11" ht="15" customHeight="1">
      <c r="B1012" s="49"/>
      <c r="C1012" s="58"/>
      <c r="D1012" s="59"/>
      <c r="E1012" s="61"/>
      <c r="F1012" s="60"/>
    </row>
    <row r="1013" spans="2:11" ht="15" customHeight="1">
      <c r="B1013" s="49"/>
      <c r="C1013" s="58"/>
      <c r="D1013" s="59"/>
      <c r="E1013" s="61"/>
      <c r="F1013" s="60"/>
    </row>
  </sheetData>
  <mergeCells count="23">
    <mergeCell ref="B1:N1"/>
    <mergeCell ref="B4:F4"/>
    <mergeCell ref="I4:N4"/>
    <mergeCell ref="Q4:R4"/>
    <mergeCell ref="B6:F6"/>
    <mergeCell ref="I6:N6"/>
    <mergeCell ref="Q6:R6"/>
    <mergeCell ref="C10:F10"/>
    <mergeCell ref="B13:F13"/>
    <mergeCell ref="J18:N18"/>
    <mergeCell ref="Q21:R21"/>
    <mergeCell ref="C23:F23"/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U979"/>
  <sheetViews>
    <sheetView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2.625" defaultRowHeight="15" customHeight="1"/>
  <cols>
    <col min="1" max="1" width="25.375" customWidth="1"/>
    <col min="2" max="2" width="36.125" hidden="1" customWidth="1"/>
    <col min="3" max="3" width="10.5" customWidth="1"/>
    <col min="4" max="4" width="21.125" customWidth="1"/>
    <col min="5" max="5" width="44.125" customWidth="1"/>
    <col min="6" max="7" width="10" customWidth="1"/>
    <col min="8" max="8" width="36.125" customWidth="1"/>
    <col min="9" max="9" width="8.625" customWidth="1"/>
    <col min="10" max="10" width="9.625" customWidth="1"/>
    <col min="11" max="11" width="14.5" customWidth="1"/>
    <col min="12" max="12" width="6.625" customWidth="1"/>
    <col min="13" max="13" width="18.5" customWidth="1"/>
    <col min="14" max="15" width="37.125" customWidth="1"/>
    <col min="16" max="16" width="15.625" customWidth="1"/>
    <col min="17" max="17" width="14.625" customWidth="1"/>
    <col min="18" max="18" width="15.875" customWidth="1"/>
    <col min="19" max="19" width="13.625" customWidth="1"/>
    <col min="20" max="20" width="15.625" customWidth="1"/>
    <col min="21" max="21" width="17.5" customWidth="1"/>
    <col min="22" max="39" width="9.375" customWidth="1"/>
  </cols>
  <sheetData>
    <row r="1" spans="1:21" ht="15.75" customHeight="1">
      <c r="A1" s="21" t="s">
        <v>38</v>
      </c>
      <c r="B1" s="21" t="s">
        <v>39</v>
      </c>
      <c r="C1" s="21" t="s">
        <v>40</v>
      </c>
      <c r="D1" s="21" t="s">
        <v>41</v>
      </c>
      <c r="E1" s="21" t="s">
        <v>42</v>
      </c>
      <c r="F1" s="21" t="s">
        <v>43</v>
      </c>
      <c r="G1" s="21" t="s">
        <v>44</v>
      </c>
      <c r="H1" s="21" t="s">
        <v>45</v>
      </c>
      <c r="I1" s="21" t="s">
        <v>46</v>
      </c>
      <c r="J1" s="21" t="s">
        <v>47</v>
      </c>
      <c r="K1" s="21" t="s">
        <v>48</v>
      </c>
      <c r="L1" s="21" t="s">
        <v>49</v>
      </c>
      <c r="M1" s="21" t="s">
        <v>50</v>
      </c>
      <c r="N1" s="21" t="s">
        <v>51</v>
      </c>
      <c r="O1" s="21" t="s">
        <v>51</v>
      </c>
      <c r="P1" s="22"/>
      <c r="Q1" s="22"/>
      <c r="R1" s="22"/>
      <c r="S1" s="22"/>
      <c r="T1" s="22"/>
      <c r="U1" s="22"/>
    </row>
    <row r="2" spans="1:21" ht="17.100000000000001">
      <c r="A2" s="23" t="s">
        <v>52</v>
      </c>
      <c r="B2" s="24" t="str">
        <f>TEXT(G2,"mm.yyyy")</f>
        <v>01.yyyy</v>
      </c>
      <c r="C2" s="25" t="s">
        <v>53</v>
      </c>
      <c r="D2" s="26">
        <v>0.05</v>
      </c>
      <c r="E2" s="27" t="s">
        <v>54</v>
      </c>
      <c r="F2" s="28"/>
      <c r="G2" s="28"/>
      <c r="H2" s="29"/>
      <c r="I2" s="29" t="b">
        <v>0</v>
      </c>
      <c r="J2" s="481"/>
      <c r="K2" s="481"/>
      <c r="L2" s="29"/>
      <c r="M2" s="29"/>
      <c r="N2" s="29"/>
      <c r="O2" s="29"/>
      <c r="P2" s="30"/>
      <c r="Q2" s="30"/>
    </row>
    <row r="3" spans="1:21" ht="15.95">
      <c r="A3" s="23"/>
      <c r="B3" s="24"/>
      <c r="C3" s="25"/>
      <c r="D3" s="26"/>
      <c r="E3" s="27"/>
      <c r="F3" s="28"/>
      <c r="G3" s="28"/>
      <c r="H3" s="29"/>
      <c r="I3" s="29" t="b">
        <v>0</v>
      </c>
      <c r="J3" s="481"/>
      <c r="K3" s="481"/>
      <c r="L3" s="29"/>
      <c r="M3" s="29"/>
      <c r="N3" s="29"/>
      <c r="O3" s="29"/>
      <c r="R3" s="30"/>
      <c r="S3" s="30"/>
    </row>
    <row r="4" spans="1:21" ht="17.100000000000001">
      <c r="A4" s="23" t="s">
        <v>55</v>
      </c>
      <c r="B4" s="24" t="str">
        <f t="shared" ref="B4:B10" si="0">TEXT(G4,"mm.yyyy")</f>
        <v>01.yyyy</v>
      </c>
      <c r="C4" s="25" t="s">
        <v>56</v>
      </c>
      <c r="D4" s="26">
        <v>0.3</v>
      </c>
      <c r="E4" s="27"/>
      <c r="F4" s="28">
        <f>G2</f>
        <v>0</v>
      </c>
      <c r="G4" s="28"/>
      <c r="H4" s="29"/>
      <c r="I4" s="29" t="b">
        <v>0</v>
      </c>
      <c r="J4" s="481"/>
      <c r="K4" s="481"/>
      <c r="L4" s="29"/>
      <c r="M4" s="29"/>
      <c r="N4" s="29"/>
      <c r="O4" s="29"/>
      <c r="R4" s="30"/>
      <c r="S4" s="30"/>
    </row>
    <row r="5" spans="1:21" ht="15.95">
      <c r="A5" s="31" t="s">
        <v>57</v>
      </c>
      <c r="B5" s="24" t="str">
        <f t="shared" si="0"/>
        <v>01.yyyy</v>
      </c>
      <c r="C5" s="25" t="s">
        <v>53</v>
      </c>
      <c r="D5" s="26">
        <v>0.3</v>
      </c>
      <c r="E5" s="27"/>
      <c r="F5" s="32">
        <f t="shared" ref="F5:F6" si="1">G4</f>
        <v>0</v>
      </c>
      <c r="G5" s="28"/>
      <c r="H5" s="29"/>
      <c r="I5" s="29" t="b">
        <v>0</v>
      </c>
      <c r="J5" s="481"/>
      <c r="K5" s="481"/>
      <c r="L5" s="29"/>
      <c r="M5" s="29"/>
      <c r="N5" s="29"/>
      <c r="O5" s="29"/>
    </row>
    <row r="6" spans="1:21" ht="15.75" customHeight="1">
      <c r="A6" s="31" t="s">
        <v>58</v>
      </c>
      <c r="B6" s="24" t="str">
        <f t="shared" si="0"/>
        <v>01.yyyy</v>
      </c>
      <c r="C6" s="25" t="s">
        <v>59</v>
      </c>
      <c r="D6" s="26">
        <v>0.35</v>
      </c>
      <c r="E6" s="27"/>
      <c r="F6" s="28">
        <f t="shared" si="1"/>
        <v>0</v>
      </c>
      <c r="G6" s="32"/>
      <c r="H6" s="29"/>
      <c r="I6" s="29" t="b">
        <v>0</v>
      </c>
      <c r="J6" s="481"/>
      <c r="K6" s="481"/>
      <c r="L6" s="29"/>
      <c r="M6" s="29"/>
      <c r="N6" s="29"/>
      <c r="O6" s="29"/>
    </row>
    <row r="7" spans="1:21" ht="15.75" customHeight="1">
      <c r="A7" s="31" t="s">
        <v>60</v>
      </c>
      <c r="B7" s="24" t="str">
        <f t="shared" si="0"/>
        <v>01.yyyy</v>
      </c>
      <c r="C7" s="25"/>
      <c r="D7" s="25"/>
      <c r="E7" s="27"/>
      <c r="F7" s="29"/>
      <c r="G7" s="29"/>
      <c r="H7" s="29"/>
      <c r="I7" s="29" t="b">
        <v>0</v>
      </c>
      <c r="J7" s="481"/>
      <c r="K7" s="481"/>
      <c r="L7" s="29"/>
      <c r="M7" s="29"/>
      <c r="N7" s="29"/>
      <c r="O7" s="29"/>
    </row>
    <row r="8" spans="1:21" ht="15.75" customHeight="1">
      <c r="A8" s="31" t="s">
        <v>61</v>
      </c>
      <c r="B8" s="24" t="str">
        <f t="shared" si="0"/>
        <v>01.yyyy</v>
      </c>
      <c r="C8" s="25"/>
      <c r="D8" s="25"/>
      <c r="E8" s="27"/>
      <c r="F8" s="32"/>
      <c r="G8" s="32"/>
      <c r="H8" s="29"/>
      <c r="I8" s="29" t="b">
        <v>0</v>
      </c>
      <c r="J8" s="481"/>
      <c r="K8" s="481"/>
      <c r="L8" s="29"/>
      <c r="M8" s="33"/>
      <c r="N8" s="29"/>
      <c r="O8" s="29"/>
    </row>
    <row r="9" spans="1:21" ht="15.75" customHeight="1">
      <c r="A9" s="31" t="s">
        <v>62</v>
      </c>
      <c r="B9" s="24" t="str">
        <f t="shared" si="0"/>
        <v>01.yyyy</v>
      </c>
      <c r="C9" s="25"/>
      <c r="D9" s="25"/>
      <c r="E9" s="27"/>
      <c r="F9" s="32"/>
      <c r="G9" s="32"/>
      <c r="H9" s="29"/>
      <c r="I9" s="29" t="b">
        <v>0</v>
      </c>
      <c r="J9" s="481"/>
      <c r="K9" s="481"/>
      <c r="L9" s="29"/>
      <c r="M9" s="33"/>
      <c r="N9" s="29"/>
      <c r="O9" s="29"/>
    </row>
    <row r="10" spans="1:21" ht="15.75" customHeight="1">
      <c r="A10" s="31" t="s">
        <v>63</v>
      </c>
      <c r="B10" s="24" t="str">
        <f t="shared" si="0"/>
        <v>01.yyyy</v>
      </c>
      <c r="C10" s="25"/>
      <c r="D10" s="25"/>
      <c r="E10" s="27"/>
      <c r="F10" s="32"/>
      <c r="G10" s="32"/>
      <c r="H10" s="29"/>
      <c r="I10" s="29" t="b">
        <v>0</v>
      </c>
      <c r="J10" s="481"/>
      <c r="K10" s="481"/>
      <c r="L10" s="29"/>
      <c r="M10" s="33"/>
      <c r="N10" s="29"/>
      <c r="O10" s="29"/>
    </row>
    <row r="11" spans="1:21" ht="15.75" customHeight="1">
      <c r="A11" s="34"/>
    </row>
    <row r="12" spans="1:21" ht="15.75" customHeight="1">
      <c r="A12" s="34"/>
    </row>
    <row r="13" spans="1:21" ht="15.75" customHeight="1">
      <c r="A13" s="34"/>
    </row>
    <row r="14" spans="1:21" ht="15.75" customHeight="1">
      <c r="A14" s="34"/>
    </row>
    <row r="15" spans="1:21" ht="15.75" customHeight="1">
      <c r="A15" s="34"/>
    </row>
    <row r="16" spans="1:21" ht="15.75" customHeight="1">
      <c r="A16" s="34"/>
    </row>
    <row r="17" spans="1:1" ht="15.75" customHeight="1">
      <c r="A17" s="34"/>
    </row>
    <row r="18" spans="1:1" ht="15.75" customHeight="1">
      <c r="A18" s="34"/>
    </row>
    <row r="19" spans="1:1" ht="15.75" customHeight="1">
      <c r="A19" s="34"/>
    </row>
    <row r="20" spans="1:1" ht="15.75" customHeight="1">
      <c r="A20" s="34"/>
    </row>
    <row r="21" spans="1:1" ht="15.75" customHeight="1">
      <c r="A21" s="34"/>
    </row>
    <row r="22" spans="1:1" ht="15.75" customHeight="1">
      <c r="A22" s="34"/>
    </row>
    <row r="23" spans="1:1" ht="15.75" customHeight="1">
      <c r="A23" s="34"/>
    </row>
    <row r="24" spans="1:1" ht="15.75" customHeight="1">
      <c r="A24" s="34"/>
    </row>
    <row r="25" spans="1:1" ht="15.75" customHeight="1">
      <c r="A25" s="34"/>
    </row>
    <row r="26" spans="1:1" ht="15.75" customHeight="1">
      <c r="A26" s="34"/>
    </row>
    <row r="27" spans="1:1" ht="15.75" customHeight="1">
      <c r="A27" s="34"/>
    </row>
    <row r="28" spans="1:1" ht="15.75" customHeight="1">
      <c r="A28" s="34"/>
    </row>
    <row r="29" spans="1:1" ht="15.75" customHeight="1">
      <c r="A29" s="34"/>
    </row>
    <row r="30" spans="1:1" ht="15.75" customHeight="1">
      <c r="A30" s="34"/>
    </row>
    <row r="31" spans="1:1" ht="15.75" customHeight="1">
      <c r="A31" s="34"/>
    </row>
    <row r="32" spans="1:1" ht="15.75" customHeight="1">
      <c r="A32" s="34"/>
    </row>
    <row r="33" spans="1:1" ht="15.75" customHeight="1">
      <c r="A33" s="34"/>
    </row>
    <row r="34" spans="1:1" ht="15.75" customHeight="1">
      <c r="A34" s="34"/>
    </row>
    <row r="35" spans="1:1" ht="15.75" customHeight="1">
      <c r="A35" s="34"/>
    </row>
    <row r="36" spans="1:1" ht="15.75" customHeight="1">
      <c r="A36" s="34"/>
    </row>
    <row r="37" spans="1:1" ht="15.75" customHeight="1">
      <c r="A37" s="34"/>
    </row>
    <row r="38" spans="1:1" ht="15.75" customHeight="1">
      <c r="A38" s="34"/>
    </row>
    <row r="39" spans="1:1" ht="15.75" customHeight="1">
      <c r="A39" s="34"/>
    </row>
    <row r="40" spans="1:1" ht="15.75" customHeight="1">
      <c r="A40" s="34"/>
    </row>
    <row r="41" spans="1:1" ht="15.75" customHeight="1">
      <c r="A41" s="34"/>
    </row>
    <row r="42" spans="1:1" ht="15.75" customHeight="1">
      <c r="A42" s="34"/>
    </row>
    <row r="43" spans="1:1" ht="15.75" customHeight="1">
      <c r="A43" s="34"/>
    </row>
    <row r="44" spans="1:1" ht="15.75" customHeight="1">
      <c r="A44" s="34"/>
    </row>
    <row r="45" spans="1:1" ht="15.75" customHeight="1">
      <c r="A45" s="34"/>
    </row>
    <row r="46" spans="1:1" ht="15.75" customHeight="1">
      <c r="A46" s="34"/>
    </row>
    <row r="47" spans="1:1" ht="15.75" customHeight="1">
      <c r="A47" s="34"/>
    </row>
    <row r="48" spans="1:1" ht="15.75" customHeight="1">
      <c r="A48" s="34"/>
    </row>
    <row r="49" spans="1:1" ht="15.75" customHeight="1">
      <c r="A49" s="34"/>
    </row>
    <row r="50" spans="1:1" ht="15.75" customHeight="1">
      <c r="A50" s="34"/>
    </row>
    <row r="51" spans="1:1" ht="15.75" customHeight="1">
      <c r="A51" s="34"/>
    </row>
    <row r="52" spans="1:1" ht="15.75" customHeight="1">
      <c r="A52" s="34"/>
    </row>
    <row r="53" spans="1:1" ht="15.75" customHeight="1">
      <c r="A53" s="34"/>
    </row>
    <row r="54" spans="1:1" ht="15.75" customHeight="1">
      <c r="A54" s="34"/>
    </row>
    <row r="55" spans="1:1" ht="15.75" customHeight="1">
      <c r="A55" s="34"/>
    </row>
    <row r="56" spans="1:1" ht="15.75" customHeight="1">
      <c r="A56" s="34"/>
    </row>
    <row r="57" spans="1:1" ht="15.75" customHeight="1">
      <c r="A57" s="34"/>
    </row>
    <row r="58" spans="1:1" ht="15.75" customHeight="1">
      <c r="A58" s="34"/>
    </row>
    <row r="59" spans="1:1" ht="15.75" customHeight="1">
      <c r="A59" s="34"/>
    </row>
    <row r="60" spans="1:1" ht="15.75" customHeight="1">
      <c r="A60" s="34"/>
    </row>
    <row r="61" spans="1:1" ht="15.75" customHeight="1">
      <c r="A61" s="34"/>
    </row>
    <row r="62" spans="1:1" ht="15.75" customHeight="1">
      <c r="A62" s="34"/>
    </row>
    <row r="63" spans="1:1" ht="15.75" customHeight="1">
      <c r="A63" s="34"/>
    </row>
    <row r="64" spans="1:1" ht="15.75" customHeight="1">
      <c r="A64" s="34"/>
    </row>
    <row r="65" spans="1:1" ht="15.75" customHeight="1">
      <c r="A65" s="34"/>
    </row>
    <row r="66" spans="1:1" ht="15.75" customHeight="1">
      <c r="A66" s="34"/>
    </row>
    <row r="67" spans="1:1" ht="15.75" customHeight="1">
      <c r="A67" s="34"/>
    </row>
    <row r="68" spans="1:1" ht="15.75" customHeight="1">
      <c r="A68" s="34"/>
    </row>
    <row r="69" spans="1:1" ht="15.75" customHeight="1">
      <c r="A69" s="34"/>
    </row>
    <row r="70" spans="1:1" ht="15.75" customHeight="1">
      <c r="A70" s="34"/>
    </row>
    <row r="71" spans="1:1" ht="15.75" customHeight="1">
      <c r="A71" s="34"/>
    </row>
    <row r="72" spans="1:1" ht="15.75" customHeight="1">
      <c r="A72" s="34"/>
    </row>
    <row r="73" spans="1:1" ht="15.75" customHeight="1">
      <c r="A73" s="34"/>
    </row>
    <row r="74" spans="1:1" ht="15.75" customHeight="1">
      <c r="A74" s="34"/>
    </row>
    <row r="75" spans="1:1" ht="15.75" customHeight="1">
      <c r="A75" s="34"/>
    </row>
    <row r="76" spans="1:1" ht="15.75" customHeight="1">
      <c r="A76" s="34"/>
    </row>
    <row r="77" spans="1:1" ht="15.75" customHeight="1">
      <c r="A77" s="34"/>
    </row>
    <row r="78" spans="1:1" ht="15.75" customHeight="1">
      <c r="A78" s="34"/>
    </row>
    <row r="79" spans="1:1" ht="15.75" customHeight="1">
      <c r="A79" s="34"/>
    </row>
    <row r="80" spans="1:1" ht="15.75" customHeight="1">
      <c r="A80" s="34"/>
    </row>
    <row r="81" spans="1:1" ht="15.75" customHeight="1">
      <c r="A81" s="34"/>
    </row>
    <row r="82" spans="1:1" ht="15.75" customHeight="1">
      <c r="A82" s="34"/>
    </row>
    <row r="83" spans="1:1" ht="15.75" customHeight="1">
      <c r="A83" s="34"/>
    </row>
    <row r="84" spans="1:1" ht="15.75" customHeight="1">
      <c r="A84" s="34"/>
    </row>
    <row r="85" spans="1:1" ht="15.75" customHeight="1">
      <c r="A85" s="34"/>
    </row>
    <row r="86" spans="1:1" ht="15.75" customHeight="1">
      <c r="A86" s="34"/>
    </row>
    <row r="87" spans="1:1" ht="15.75" customHeight="1">
      <c r="A87" s="34"/>
    </row>
    <row r="88" spans="1:1" ht="15.75" customHeight="1">
      <c r="A88" s="34"/>
    </row>
    <row r="89" spans="1:1" ht="15.75" customHeight="1">
      <c r="A89" s="34"/>
    </row>
    <row r="90" spans="1:1" ht="15.75" customHeight="1">
      <c r="A90" s="34"/>
    </row>
    <row r="91" spans="1:1" ht="15.75" customHeight="1">
      <c r="A91" s="34"/>
    </row>
    <row r="92" spans="1:1" ht="15.75" customHeight="1">
      <c r="A92" s="34"/>
    </row>
    <row r="93" spans="1:1" ht="15.75" customHeight="1">
      <c r="A93" s="34"/>
    </row>
    <row r="94" spans="1:1" ht="15.75" customHeight="1">
      <c r="A94" s="34"/>
    </row>
    <row r="95" spans="1:1" ht="15.75" customHeight="1">
      <c r="A95" s="34"/>
    </row>
    <row r="96" spans="1:1" ht="15.75" customHeight="1">
      <c r="A96" s="34"/>
    </row>
    <row r="97" spans="1:1" ht="15.75" customHeight="1">
      <c r="A97" s="34"/>
    </row>
    <row r="98" spans="1:1" ht="15.75" customHeight="1">
      <c r="A98" s="34"/>
    </row>
    <row r="99" spans="1:1" ht="15.75" customHeight="1">
      <c r="A99" s="34"/>
    </row>
    <row r="100" spans="1:1" ht="15.75" customHeight="1">
      <c r="A100" s="34"/>
    </row>
    <row r="101" spans="1:1" ht="15.75" customHeight="1">
      <c r="A101" s="34"/>
    </row>
    <row r="102" spans="1:1" ht="15.75" customHeight="1">
      <c r="A102" s="34"/>
    </row>
    <row r="103" spans="1:1" ht="15.75" customHeight="1">
      <c r="A103" s="34"/>
    </row>
    <row r="104" spans="1:1" ht="15.75" customHeight="1">
      <c r="A104" s="34"/>
    </row>
    <row r="105" spans="1:1" ht="15.75" customHeight="1">
      <c r="A105" s="34"/>
    </row>
    <row r="106" spans="1:1" ht="15.75" customHeight="1">
      <c r="A106" s="34"/>
    </row>
    <row r="107" spans="1:1" ht="15.75" customHeight="1">
      <c r="A107" s="34"/>
    </row>
    <row r="108" spans="1:1" ht="15.75" customHeight="1">
      <c r="A108" s="34"/>
    </row>
    <row r="109" spans="1:1" ht="15.75" customHeight="1">
      <c r="A109" s="34"/>
    </row>
    <row r="110" spans="1:1" ht="15.75" customHeight="1">
      <c r="A110" s="34"/>
    </row>
    <row r="111" spans="1:1" ht="15.75" customHeight="1">
      <c r="A111" s="34"/>
    </row>
    <row r="112" spans="1:1" ht="15.75" customHeight="1">
      <c r="A112" s="34"/>
    </row>
    <row r="113" spans="1:1" ht="15.75" customHeight="1">
      <c r="A113" s="34"/>
    </row>
    <row r="114" spans="1:1" ht="15.75" customHeight="1">
      <c r="A114" s="34"/>
    </row>
    <row r="115" spans="1:1" ht="15.75" customHeight="1">
      <c r="A115" s="34"/>
    </row>
    <row r="116" spans="1:1" ht="15.75" customHeight="1">
      <c r="A116" s="34"/>
    </row>
    <row r="117" spans="1:1" ht="15.75" customHeight="1">
      <c r="A117" s="34"/>
    </row>
    <row r="118" spans="1:1" ht="15.75" customHeight="1">
      <c r="A118" s="34"/>
    </row>
    <row r="119" spans="1:1" ht="15.75" customHeight="1">
      <c r="A119" s="34"/>
    </row>
    <row r="120" spans="1:1" ht="15.75" customHeight="1">
      <c r="A120" s="34"/>
    </row>
    <row r="121" spans="1:1" ht="15.75" customHeight="1">
      <c r="A121" s="34"/>
    </row>
    <row r="122" spans="1:1" ht="15.75" customHeight="1">
      <c r="A122" s="34"/>
    </row>
    <row r="123" spans="1:1" ht="15.75" customHeight="1">
      <c r="A123" s="34"/>
    </row>
    <row r="124" spans="1:1" ht="15.75" customHeight="1">
      <c r="A124" s="34"/>
    </row>
    <row r="125" spans="1:1" ht="15.75" customHeight="1">
      <c r="A125" s="34"/>
    </row>
    <row r="126" spans="1:1" ht="15.75" customHeight="1">
      <c r="A126" s="34"/>
    </row>
    <row r="127" spans="1:1" ht="15.75" customHeight="1">
      <c r="A127" s="34"/>
    </row>
    <row r="128" spans="1:1" ht="15.75" customHeight="1">
      <c r="A128" s="34"/>
    </row>
    <row r="129" spans="1:1" ht="15.75" customHeight="1">
      <c r="A129" s="34"/>
    </row>
    <row r="130" spans="1:1" ht="15.75" customHeight="1">
      <c r="A130" s="34"/>
    </row>
    <row r="131" spans="1:1" ht="15.75" customHeight="1">
      <c r="A131" s="34"/>
    </row>
    <row r="132" spans="1:1" ht="15.75" customHeight="1">
      <c r="A132" s="34"/>
    </row>
    <row r="133" spans="1:1" ht="15.75" customHeight="1">
      <c r="A133" s="34"/>
    </row>
    <row r="134" spans="1:1" ht="15.75" customHeight="1">
      <c r="A134" s="34"/>
    </row>
    <row r="135" spans="1:1" ht="15.75" customHeight="1">
      <c r="A135" s="34"/>
    </row>
    <row r="136" spans="1:1" ht="15.75" customHeight="1">
      <c r="A136" s="34"/>
    </row>
    <row r="137" spans="1:1" ht="15.75" customHeight="1">
      <c r="A137" s="34"/>
    </row>
    <row r="138" spans="1:1" ht="15.75" customHeight="1">
      <c r="A138" s="34"/>
    </row>
    <row r="139" spans="1:1" ht="15.75" customHeight="1">
      <c r="A139" s="34"/>
    </row>
    <row r="140" spans="1:1" ht="15.75" customHeight="1">
      <c r="A140" s="34"/>
    </row>
    <row r="141" spans="1:1" ht="15.75" customHeight="1">
      <c r="A141" s="34"/>
    </row>
    <row r="142" spans="1:1" ht="15.75" customHeight="1">
      <c r="A142" s="34"/>
    </row>
    <row r="143" spans="1:1" ht="15.75" customHeight="1">
      <c r="A143" s="34"/>
    </row>
    <row r="144" spans="1:1" ht="15.75" customHeight="1">
      <c r="A144" s="34"/>
    </row>
    <row r="145" spans="1:1" ht="15.75" customHeight="1">
      <c r="A145" s="34"/>
    </row>
    <row r="146" spans="1:1" ht="15.75" customHeight="1">
      <c r="A146" s="34"/>
    </row>
    <row r="147" spans="1:1" ht="15.75" customHeight="1">
      <c r="A147" s="34"/>
    </row>
    <row r="148" spans="1:1" ht="15.75" customHeight="1">
      <c r="A148" s="34"/>
    </row>
    <row r="149" spans="1:1" ht="15.75" customHeight="1">
      <c r="A149" s="34"/>
    </row>
    <row r="150" spans="1:1" ht="15.75" customHeight="1">
      <c r="A150" s="34"/>
    </row>
    <row r="151" spans="1:1" ht="15.75" customHeight="1">
      <c r="A151" s="34"/>
    </row>
    <row r="152" spans="1:1" ht="15.75" customHeight="1">
      <c r="A152" s="34"/>
    </row>
    <row r="153" spans="1:1" ht="15.75" customHeight="1">
      <c r="A153" s="34"/>
    </row>
    <row r="154" spans="1:1" ht="15.75" customHeight="1">
      <c r="A154" s="34"/>
    </row>
    <row r="155" spans="1:1" ht="15.75" customHeight="1">
      <c r="A155" s="34"/>
    </row>
    <row r="156" spans="1:1" ht="15.75" customHeight="1">
      <c r="A156" s="34"/>
    </row>
    <row r="157" spans="1:1" ht="15.75" customHeight="1">
      <c r="A157" s="34"/>
    </row>
    <row r="158" spans="1:1" ht="15.75" customHeight="1">
      <c r="A158" s="34"/>
    </row>
    <row r="159" spans="1:1" ht="15.75" customHeight="1">
      <c r="A159" s="34"/>
    </row>
    <row r="160" spans="1:1" ht="15.75" customHeight="1">
      <c r="A160" s="34"/>
    </row>
    <row r="161" spans="1:1" ht="15.75" customHeight="1">
      <c r="A161" s="34"/>
    </row>
    <row r="162" spans="1:1" ht="15.75" customHeight="1">
      <c r="A162" s="34"/>
    </row>
    <row r="163" spans="1:1" ht="15.75" customHeight="1">
      <c r="A163" s="34"/>
    </row>
    <row r="164" spans="1:1" ht="15.75" customHeight="1">
      <c r="A164" s="34"/>
    </row>
    <row r="165" spans="1:1" ht="15.75" customHeight="1">
      <c r="A165" s="34"/>
    </row>
    <row r="166" spans="1:1" ht="15.75" customHeight="1">
      <c r="A166" s="34"/>
    </row>
    <row r="167" spans="1:1" ht="15.75" customHeight="1">
      <c r="A167" s="34"/>
    </row>
    <row r="168" spans="1:1" ht="15.75" customHeight="1">
      <c r="A168" s="34"/>
    </row>
    <row r="169" spans="1:1" ht="15.75" customHeight="1">
      <c r="A169" s="34"/>
    </row>
    <row r="170" spans="1:1" ht="15.75" customHeight="1">
      <c r="A170" s="34"/>
    </row>
    <row r="171" spans="1:1" ht="15.75" customHeight="1">
      <c r="A171" s="34"/>
    </row>
    <row r="172" spans="1:1" ht="15.75" customHeight="1">
      <c r="A172" s="34"/>
    </row>
    <row r="173" spans="1:1" ht="15.75" customHeight="1">
      <c r="A173" s="34"/>
    </row>
    <row r="174" spans="1:1" ht="15.75" customHeight="1">
      <c r="A174" s="34"/>
    </row>
    <row r="175" spans="1:1" ht="15.75" customHeight="1">
      <c r="A175" s="34"/>
    </row>
    <row r="176" spans="1:1" ht="15.75" customHeight="1">
      <c r="A176" s="34"/>
    </row>
    <row r="177" spans="1:1" ht="15.75" customHeight="1">
      <c r="A177" s="34"/>
    </row>
    <row r="178" spans="1:1" ht="15.75" customHeight="1">
      <c r="A178" s="34"/>
    </row>
    <row r="179" spans="1:1" ht="15.75" customHeight="1">
      <c r="A179" s="34"/>
    </row>
    <row r="180" spans="1:1" ht="15.75" customHeight="1">
      <c r="A180" s="34"/>
    </row>
    <row r="181" spans="1:1" ht="15.75" customHeight="1">
      <c r="A181" s="34"/>
    </row>
    <row r="182" spans="1:1" ht="15.75" customHeight="1">
      <c r="A182" s="34"/>
    </row>
    <row r="183" spans="1:1" ht="15.75" customHeight="1">
      <c r="A183" s="34"/>
    </row>
    <row r="184" spans="1:1" ht="15.75" customHeight="1">
      <c r="A184" s="34"/>
    </row>
    <row r="185" spans="1:1" ht="15.75" customHeight="1">
      <c r="A185" s="34"/>
    </row>
    <row r="186" spans="1:1" ht="15.75" customHeight="1">
      <c r="A186" s="34"/>
    </row>
    <row r="187" spans="1:1" ht="15.75" customHeight="1">
      <c r="A187" s="34"/>
    </row>
    <row r="188" spans="1:1" ht="15.75" customHeight="1">
      <c r="A188" s="34"/>
    </row>
    <row r="189" spans="1:1" ht="15.75" customHeight="1">
      <c r="A189" s="34"/>
    </row>
    <row r="190" spans="1:1" ht="15.75" customHeight="1">
      <c r="A190" s="34"/>
    </row>
    <row r="191" spans="1:1" ht="15.75" customHeight="1">
      <c r="A191" s="34"/>
    </row>
    <row r="192" spans="1:1" ht="15.75" customHeight="1">
      <c r="A192" s="34"/>
    </row>
    <row r="193" spans="1:1" ht="15.75" customHeight="1">
      <c r="A193" s="34"/>
    </row>
    <row r="194" spans="1:1" ht="15.75" customHeight="1">
      <c r="A194" s="34"/>
    </row>
    <row r="195" spans="1:1" ht="15.75" customHeight="1">
      <c r="A195" s="34"/>
    </row>
    <row r="196" spans="1:1" ht="15.75" customHeight="1">
      <c r="A196" s="34"/>
    </row>
    <row r="197" spans="1:1" ht="15.75" customHeight="1">
      <c r="A197" s="34"/>
    </row>
    <row r="198" spans="1:1" ht="15.75" customHeight="1">
      <c r="A198" s="34"/>
    </row>
    <row r="199" spans="1:1" ht="15.75" customHeight="1">
      <c r="A199" s="34"/>
    </row>
    <row r="200" spans="1:1" ht="15.75" customHeight="1">
      <c r="A200" s="34"/>
    </row>
    <row r="201" spans="1:1" ht="15.75" customHeight="1">
      <c r="A201" s="34"/>
    </row>
    <row r="202" spans="1:1" ht="15.75" customHeight="1">
      <c r="A202" s="34"/>
    </row>
    <row r="203" spans="1:1" ht="15.75" customHeight="1">
      <c r="A203" s="34"/>
    </row>
    <row r="204" spans="1:1" ht="15.75" customHeight="1">
      <c r="A204" s="34"/>
    </row>
    <row r="205" spans="1:1" ht="15.75" customHeight="1">
      <c r="A205" s="34"/>
    </row>
    <row r="206" spans="1:1" ht="15.75" customHeight="1">
      <c r="A206" s="34"/>
    </row>
    <row r="207" spans="1:1" ht="15.75" customHeight="1">
      <c r="A207" s="34"/>
    </row>
    <row r="208" spans="1:1" ht="15.75" customHeight="1">
      <c r="A208" s="34"/>
    </row>
    <row r="209" spans="1:1" ht="15.75" customHeight="1">
      <c r="A209" s="34"/>
    </row>
    <row r="210" spans="1:1" ht="15.75" customHeight="1">
      <c r="A210" s="34"/>
    </row>
    <row r="211" spans="1:1" ht="15.75" customHeight="1">
      <c r="A211" s="34"/>
    </row>
    <row r="212" spans="1:1" ht="15.75" customHeight="1">
      <c r="A212" s="34"/>
    </row>
    <row r="213" spans="1:1" ht="15.75" customHeight="1">
      <c r="A213" s="34"/>
    </row>
    <row r="214" spans="1:1" ht="15.75" customHeight="1">
      <c r="A214" s="34"/>
    </row>
    <row r="215" spans="1:1" ht="15.75" customHeight="1">
      <c r="A215" s="34"/>
    </row>
    <row r="216" spans="1:1" ht="15.75" customHeight="1">
      <c r="A216" s="34"/>
    </row>
    <row r="217" spans="1:1" ht="15.75" customHeight="1">
      <c r="A217" s="34"/>
    </row>
    <row r="218" spans="1:1" ht="15.75" customHeight="1">
      <c r="A218" s="34"/>
    </row>
    <row r="219" spans="1:1" ht="15.75" customHeight="1">
      <c r="A219" s="34"/>
    </row>
    <row r="220" spans="1:1" ht="15.75" customHeight="1">
      <c r="A220" s="34"/>
    </row>
    <row r="221" spans="1:1" ht="15.75" customHeight="1">
      <c r="A221" s="34"/>
    </row>
    <row r="222" spans="1:1" ht="15.75" customHeight="1">
      <c r="A222" s="34"/>
    </row>
    <row r="223" spans="1:1" ht="15.75" customHeight="1">
      <c r="A223" s="34"/>
    </row>
    <row r="224" spans="1:1" ht="15.75" customHeight="1">
      <c r="A224" s="34"/>
    </row>
    <row r="225" spans="1:1" ht="15.75" customHeight="1">
      <c r="A225" s="34"/>
    </row>
    <row r="226" spans="1:1" ht="15.75" customHeight="1">
      <c r="A226" s="34"/>
    </row>
    <row r="227" spans="1:1" ht="15.75" customHeight="1">
      <c r="A227" s="34"/>
    </row>
    <row r="228" spans="1:1" ht="15.75" customHeight="1">
      <c r="A228" s="34"/>
    </row>
    <row r="229" spans="1:1" ht="15.75" customHeight="1">
      <c r="A229" s="34"/>
    </row>
    <row r="230" spans="1:1" ht="15.75" customHeight="1">
      <c r="A230" s="34"/>
    </row>
    <row r="231" spans="1:1" ht="15.75" customHeight="1">
      <c r="A231" s="34"/>
    </row>
    <row r="232" spans="1:1" ht="15.75" customHeight="1">
      <c r="A232" s="34"/>
    </row>
    <row r="233" spans="1:1" ht="15.75" customHeight="1">
      <c r="A233" s="34"/>
    </row>
    <row r="234" spans="1:1" ht="15.75" customHeight="1">
      <c r="A234" s="34"/>
    </row>
    <row r="235" spans="1:1" ht="15.75" customHeight="1">
      <c r="A235" s="34"/>
    </row>
    <row r="236" spans="1:1" ht="15.75" customHeight="1">
      <c r="A236" s="34"/>
    </row>
    <row r="237" spans="1:1" ht="15.75" customHeight="1">
      <c r="A237" s="34"/>
    </row>
    <row r="238" spans="1:1" ht="15.75" customHeight="1">
      <c r="A238" s="34"/>
    </row>
    <row r="239" spans="1:1" ht="15.75" customHeight="1">
      <c r="A239" s="34"/>
    </row>
    <row r="240" spans="1:1" ht="15.75" customHeight="1">
      <c r="A240" s="34"/>
    </row>
    <row r="241" spans="1:1" ht="15.75" customHeight="1">
      <c r="A241" s="34"/>
    </row>
    <row r="242" spans="1:1" ht="15.75" customHeight="1">
      <c r="A242" s="34"/>
    </row>
    <row r="243" spans="1:1" ht="15.75" customHeight="1">
      <c r="A243" s="34"/>
    </row>
    <row r="244" spans="1:1" ht="15.75" customHeight="1">
      <c r="A244" s="34"/>
    </row>
    <row r="245" spans="1:1" ht="15.75" customHeight="1">
      <c r="A245" s="34"/>
    </row>
    <row r="246" spans="1:1" ht="15.75" customHeight="1">
      <c r="A246" s="34"/>
    </row>
    <row r="247" spans="1:1" ht="15.75" customHeight="1">
      <c r="A247" s="34"/>
    </row>
    <row r="248" spans="1:1" ht="15.75" customHeight="1">
      <c r="A248" s="34"/>
    </row>
    <row r="249" spans="1:1" ht="15.75" customHeight="1">
      <c r="A249" s="34"/>
    </row>
    <row r="250" spans="1:1" ht="15.75" customHeight="1">
      <c r="A250" s="34"/>
    </row>
    <row r="251" spans="1:1" ht="15.75" customHeight="1">
      <c r="A251" s="34"/>
    </row>
    <row r="252" spans="1:1" ht="15.75" customHeight="1">
      <c r="A252" s="34"/>
    </row>
    <row r="253" spans="1:1" ht="15.75" customHeight="1">
      <c r="A253" s="34"/>
    </row>
    <row r="254" spans="1:1" ht="15.75" customHeight="1">
      <c r="A254" s="34"/>
    </row>
    <row r="255" spans="1:1" ht="15.75" customHeight="1">
      <c r="A255" s="34"/>
    </row>
    <row r="256" spans="1:1" ht="15.75" customHeight="1">
      <c r="A256" s="34"/>
    </row>
    <row r="257" spans="1:1" ht="15.75" customHeight="1">
      <c r="A257" s="34"/>
    </row>
    <row r="258" spans="1:1" ht="15.75" customHeight="1">
      <c r="A258" s="34"/>
    </row>
    <row r="259" spans="1:1" ht="15.75" customHeight="1">
      <c r="A259" s="34"/>
    </row>
    <row r="260" spans="1:1" ht="15.75" customHeight="1">
      <c r="A260" s="34"/>
    </row>
    <row r="261" spans="1:1" ht="15.75" customHeight="1">
      <c r="A261" s="34"/>
    </row>
    <row r="262" spans="1:1" ht="15.75" customHeight="1">
      <c r="A262" s="34"/>
    </row>
    <row r="263" spans="1:1" ht="15.75" customHeight="1">
      <c r="A263" s="34"/>
    </row>
    <row r="264" spans="1:1" ht="15.75" customHeight="1">
      <c r="A264" s="34"/>
    </row>
    <row r="265" spans="1:1" ht="15.75" customHeight="1">
      <c r="A265" s="34"/>
    </row>
    <row r="266" spans="1:1" ht="15.75" customHeight="1">
      <c r="A266" s="34"/>
    </row>
    <row r="267" spans="1:1" ht="15.75" customHeight="1">
      <c r="A267" s="34"/>
    </row>
    <row r="268" spans="1:1" ht="15.75" customHeight="1">
      <c r="A268" s="34"/>
    </row>
    <row r="269" spans="1:1" ht="15.75" customHeight="1">
      <c r="A269" s="34"/>
    </row>
    <row r="270" spans="1:1" ht="15.75" customHeight="1">
      <c r="A270" s="34"/>
    </row>
    <row r="271" spans="1:1" ht="15.75" customHeight="1">
      <c r="A271" s="34"/>
    </row>
    <row r="272" spans="1:1" ht="15.75" customHeight="1">
      <c r="A272" s="34"/>
    </row>
    <row r="273" spans="1:1" ht="15.75" customHeight="1">
      <c r="A273" s="34"/>
    </row>
    <row r="274" spans="1:1" ht="15.75" customHeight="1">
      <c r="A274" s="34"/>
    </row>
    <row r="275" spans="1:1" ht="15.75" customHeight="1">
      <c r="A275" s="34"/>
    </row>
    <row r="276" spans="1:1" ht="15.75" customHeight="1">
      <c r="A276" s="34"/>
    </row>
    <row r="277" spans="1:1" ht="15.75" customHeight="1">
      <c r="A277" s="34"/>
    </row>
    <row r="278" spans="1:1" ht="15.75" customHeight="1">
      <c r="A278" s="34"/>
    </row>
    <row r="279" spans="1:1" ht="15.75" customHeight="1">
      <c r="A279" s="34"/>
    </row>
    <row r="280" spans="1:1" ht="15.75" customHeight="1">
      <c r="A280" s="34"/>
    </row>
    <row r="281" spans="1:1" ht="15.75" customHeight="1">
      <c r="A281" s="34"/>
    </row>
    <row r="282" spans="1:1" ht="15.75" customHeight="1">
      <c r="A282" s="34"/>
    </row>
    <row r="283" spans="1:1" ht="15.75" customHeight="1">
      <c r="A283" s="34"/>
    </row>
    <row r="284" spans="1:1" ht="15.75" customHeight="1">
      <c r="A284" s="34"/>
    </row>
    <row r="285" spans="1:1" ht="15.75" customHeight="1">
      <c r="A285" s="34"/>
    </row>
    <row r="286" spans="1:1" ht="15.75" customHeight="1">
      <c r="A286" s="34"/>
    </row>
    <row r="287" spans="1:1" ht="15.75" customHeight="1">
      <c r="A287" s="34"/>
    </row>
    <row r="288" spans="1:1" ht="15.75" customHeight="1">
      <c r="A288" s="34"/>
    </row>
    <row r="289" spans="1:1" ht="15.75" customHeight="1">
      <c r="A289" s="34"/>
    </row>
    <row r="290" spans="1:1" ht="15.75" customHeight="1">
      <c r="A290" s="34"/>
    </row>
    <row r="291" spans="1:1" ht="15.75" customHeight="1">
      <c r="A291" s="34"/>
    </row>
    <row r="292" spans="1:1" ht="15.75" customHeight="1">
      <c r="A292" s="34"/>
    </row>
    <row r="293" spans="1:1" ht="15.75" customHeight="1">
      <c r="A293" s="34"/>
    </row>
    <row r="294" spans="1:1" ht="15.75" customHeight="1">
      <c r="A294" s="34"/>
    </row>
    <row r="295" spans="1:1" ht="15.75" customHeight="1">
      <c r="A295" s="34"/>
    </row>
    <row r="296" spans="1:1" ht="15.75" customHeight="1">
      <c r="A296" s="34"/>
    </row>
    <row r="297" spans="1:1" ht="15.75" customHeight="1">
      <c r="A297" s="34"/>
    </row>
    <row r="298" spans="1:1" ht="15.75" customHeight="1">
      <c r="A298" s="34"/>
    </row>
    <row r="299" spans="1:1" ht="15.75" customHeight="1">
      <c r="A299" s="34"/>
    </row>
    <row r="300" spans="1:1" ht="15.75" customHeight="1">
      <c r="A300" s="34"/>
    </row>
    <row r="301" spans="1:1" ht="15.75" customHeight="1">
      <c r="A301" s="34"/>
    </row>
    <row r="302" spans="1:1" ht="15.75" customHeight="1">
      <c r="A302" s="34"/>
    </row>
    <row r="303" spans="1:1" ht="15.75" customHeight="1">
      <c r="A303" s="34"/>
    </row>
    <row r="304" spans="1:1" ht="15.75" customHeight="1">
      <c r="A304" s="34"/>
    </row>
    <row r="305" spans="1:1" ht="15.75" customHeight="1">
      <c r="A305" s="34"/>
    </row>
    <row r="306" spans="1:1" ht="15.75" customHeight="1">
      <c r="A306" s="34"/>
    </row>
    <row r="307" spans="1:1" ht="15.75" customHeight="1">
      <c r="A307" s="34"/>
    </row>
    <row r="308" spans="1:1" ht="15.75" customHeight="1">
      <c r="A308" s="34"/>
    </row>
    <row r="309" spans="1:1" ht="15.75" customHeight="1">
      <c r="A309" s="34"/>
    </row>
    <row r="310" spans="1:1" ht="15.75" customHeight="1">
      <c r="A310" s="34"/>
    </row>
    <row r="311" spans="1:1" ht="15.75" customHeight="1">
      <c r="A311" s="34"/>
    </row>
    <row r="312" spans="1:1" ht="15.75" customHeight="1">
      <c r="A312" s="34"/>
    </row>
    <row r="313" spans="1:1" ht="15.75" customHeight="1">
      <c r="A313" s="34"/>
    </row>
    <row r="314" spans="1:1" ht="15.75" customHeight="1">
      <c r="A314" s="34"/>
    </row>
    <row r="315" spans="1:1" ht="15.75" customHeight="1">
      <c r="A315" s="34"/>
    </row>
    <row r="316" spans="1:1" ht="15.75" customHeight="1">
      <c r="A316" s="34"/>
    </row>
    <row r="317" spans="1:1" ht="15.75" customHeight="1">
      <c r="A317" s="34"/>
    </row>
    <row r="318" spans="1:1" ht="15.75" customHeight="1">
      <c r="A318" s="34"/>
    </row>
    <row r="319" spans="1:1" ht="15.75" customHeight="1">
      <c r="A319" s="34"/>
    </row>
    <row r="320" spans="1:1" ht="15.75" customHeight="1">
      <c r="A320" s="34"/>
    </row>
    <row r="321" spans="1:1" ht="15.75" customHeight="1">
      <c r="A321" s="34"/>
    </row>
    <row r="322" spans="1:1" ht="15.75" customHeight="1">
      <c r="A322" s="34"/>
    </row>
    <row r="323" spans="1:1" ht="15.75" customHeight="1">
      <c r="A323" s="34"/>
    </row>
    <row r="324" spans="1:1" ht="15.75" customHeight="1">
      <c r="A324" s="34"/>
    </row>
    <row r="325" spans="1:1" ht="15.75" customHeight="1">
      <c r="A325" s="34"/>
    </row>
    <row r="326" spans="1:1" ht="15.75" customHeight="1">
      <c r="A326" s="34"/>
    </row>
    <row r="327" spans="1:1" ht="15.75" customHeight="1">
      <c r="A327" s="34"/>
    </row>
    <row r="328" spans="1:1" ht="15.75" customHeight="1">
      <c r="A328" s="34"/>
    </row>
    <row r="329" spans="1:1" ht="15.75" customHeight="1">
      <c r="A329" s="34"/>
    </row>
    <row r="330" spans="1:1" ht="15.75" customHeight="1">
      <c r="A330" s="34"/>
    </row>
    <row r="331" spans="1:1" ht="15.75" customHeight="1">
      <c r="A331" s="34"/>
    </row>
    <row r="332" spans="1:1" ht="15.75" customHeight="1">
      <c r="A332" s="34"/>
    </row>
    <row r="333" spans="1:1" ht="15.75" customHeight="1">
      <c r="A333" s="34"/>
    </row>
    <row r="334" spans="1:1" ht="15.75" customHeight="1">
      <c r="A334" s="34"/>
    </row>
    <row r="335" spans="1:1" ht="15.75" customHeight="1">
      <c r="A335" s="34"/>
    </row>
    <row r="336" spans="1:1" ht="15.75" customHeight="1">
      <c r="A336" s="34"/>
    </row>
    <row r="337" spans="1:1" ht="15.75" customHeight="1">
      <c r="A337" s="34"/>
    </row>
    <row r="338" spans="1:1" ht="15.75" customHeight="1">
      <c r="A338" s="34"/>
    </row>
    <row r="339" spans="1:1" ht="15.75" customHeight="1">
      <c r="A339" s="34"/>
    </row>
    <row r="340" spans="1:1" ht="15.75" customHeight="1">
      <c r="A340" s="34"/>
    </row>
    <row r="341" spans="1:1" ht="15.75" customHeight="1">
      <c r="A341" s="34"/>
    </row>
    <row r="342" spans="1:1" ht="15.75" customHeight="1">
      <c r="A342" s="34"/>
    </row>
    <row r="343" spans="1:1" ht="15.75" customHeight="1">
      <c r="A343" s="34"/>
    </row>
    <row r="344" spans="1:1" ht="15.75" customHeight="1">
      <c r="A344" s="34"/>
    </row>
    <row r="345" spans="1:1" ht="15.75" customHeight="1">
      <c r="A345" s="34"/>
    </row>
    <row r="346" spans="1:1" ht="15.75" customHeight="1">
      <c r="A346" s="34"/>
    </row>
    <row r="347" spans="1:1" ht="15.75" customHeight="1">
      <c r="A347" s="34"/>
    </row>
    <row r="348" spans="1:1" ht="15.75" customHeight="1">
      <c r="A348" s="34"/>
    </row>
    <row r="349" spans="1:1" ht="15.75" customHeight="1">
      <c r="A349" s="34"/>
    </row>
    <row r="350" spans="1:1" ht="15.75" customHeight="1">
      <c r="A350" s="34"/>
    </row>
    <row r="351" spans="1:1" ht="15.75" customHeight="1">
      <c r="A351" s="34"/>
    </row>
    <row r="352" spans="1:1" ht="15.75" customHeight="1">
      <c r="A352" s="34"/>
    </row>
    <row r="353" spans="1:1" ht="15.75" customHeight="1">
      <c r="A353" s="34"/>
    </row>
    <row r="354" spans="1:1" ht="15.75" customHeight="1">
      <c r="A354" s="34"/>
    </row>
    <row r="355" spans="1:1" ht="15.75" customHeight="1">
      <c r="A355" s="34"/>
    </row>
    <row r="356" spans="1:1" ht="15.75" customHeight="1">
      <c r="A356" s="34"/>
    </row>
    <row r="357" spans="1:1" ht="15.75" customHeight="1">
      <c r="A357" s="34"/>
    </row>
    <row r="358" spans="1:1" ht="15.75" customHeight="1">
      <c r="A358" s="34"/>
    </row>
    <row r="359" spans="1:1" ht="15.75" customHeight="1">
      <c r="A359" s="34"/>
    </row>
    <row r="360" spans="1:1" ht="15.75" customHeight="1">
      <c r="A360" s="34"/>
    </row>
    <row r="361" spans="1:1" ht="15.75" customHeight="1">
      <c r="A361" s="34"/>
    </row>
    <row r="362" spans="1:1" ht="15.75" customHeight="1">
      <c r="A362" s="34"/>
    </row>
    <row r="363" spans="1:1" ht="15.75" customHeight="1">
      <c r="A363" s="34"/>
    </row>
    <row r="364" spans="1:1" ht="15.75" customHeight="1">
      <c r="A364" s="34"/>
    </row>
    <row r="365" spans="1:1" ht="15.75" customHeight="1">
      <c r="A365" s="34"/>
    </row>
    <row r="366" spans="1:1" ht="15.75" customHeight="1">
      <c r="A366" s="34"/>
    </row>
    <row r="367" spans="1:1" ht="15.75" customHeight="1">
      <c r="A367" s="34"/>
    </row>
    <row r="368" spans="1:1" ht="15.75" customHeight="1">
      <c r="A368" s="34"/>
    </row>
    <row r="369" spans="1:1" ht="15.75" customHeight="1">
      <c r="A369" s="34"/>
    </row>
    <row r="370" spans="1:1" ht="15.75" customHeight="1">
      <c r="A370" s="34"/>
    </row>
    <row r="371" spans="1:1" ht="15.75" customHeight="1">
      <c r="A371" s="34"/>
    </row>
    <row r="372" spans="1:1" ht="15.75" customHeight="1">
      <c r="A372" s="34"/>
    </row>
    <row r="373" spans="1:1" ht="15.75" customHeight="1">
      <c r="A373" s="34"/>
    </row>
    <row r="374" spans="1:1" ht="15.75" customHeight="1">
      <c r="A374" s="34"/>
    </row>
    <row r="375" spans="1:1" ht="15.75" customHeight="1">
      <c r="A375" s="34"/>
    </row>
    <row r="376" spans="1:1" ht="15.75" customHeight="1">
      <c r="A376" s="34"/>
    </row>
    <row r="377" spans="1:1" ht="15.75" customHeight="1">
      <c r="A377" s="34"/>
    </row>
    <row r="378" spans="1:1" ht="15.75" customHeight="1">
      <c r="A378" s="34"/>
    </row>
    <row r="379" spans="1:1" ht="15.75" customHeight="1">
      <c r="A379" s="34"/>
    </row>
    <row r="380" spans="1:1" ht="15.75" customHeight="1">
      <c r="A380" s="34"/>
    </row>
    <row r="381" spans="1:1" ht="15.75" customHeight="1">
      <c r="A381" s="34"/>
    </row>
    <row r="382" spans="1:1" ht="15.75" customHeight="1">
      <c r="A382" s="34"/>
    </row>
    <row r="383" spans="1:1" ht="15.75" customHeight="1">
      <c r="A383" s="34"/>
    </row>
    <row r="384" spans="1:1" ht="15.75" customHeight="1">
      <c r="A384" s="34"/>
    </row>
    <row r="385" spans="1:1" ht="15.75" customHeight="1">
      <c r="A385" s="34"/>
    </row>
    <row r="386" spans="1:1" ht="15.75" customHeight="1">
      <c r="A386" s="34"/>
    </row>
    <row r="387" spans="1:1" ht="15.75" customHeight="1">
      <c r="A387" s="34"/>
    </row>
    <row r="388" spans="1:1" ht="15.75" customHeight="1">
      <c r="A388" s="34"/>
    </row>
    <row r="389" spans="1:1" ht="15.75" customHeight="1">
      <c r="A389" s="34"/>
    </row>
    <row r="390" spans="1:1" ht="15.75" customHeight="1">
      <c r="A390" s="34"/>
    </row>
    <row r="391" spans="1:1" ht="15.75" customHeight="1">
      <c r="A391" s="34"/>
    </row>
    <row r="392" spans="1:1" ht="15.75" customHeight="1">
      <c r="A392" s="34"/>
    </row>
    <row r="393" spans="1:1" ht="15.75" customHeight="1">
      <c r="A393" s="34"/>
    </row>
    <row r="394" spans="1:1" ht="15.75" customHeight="1">
      <c r="A394" s="34"/>
    </row>
    <row r="395" spans="1:1" ht="15.75" customHeight="1">
      <c r="A395" s="34"/>
    </row>
    <row r="396" spans="1:1" ht="15.75" customHeight="1">
      <c r="A396" s="34"/>
    </row>
    <row r="397" spans="1:1" ht="15.75" customHeight="1">
      <c r="A397" s="34"/>
    </row>
    <row r="398" spans="1:1" ht="15.75" customHeight="1">
      <c r="A398" s="34"/>
    </row>
    <row r="399" spans="1:1" ht="15.75" customHeight="1">
      <c r="A399" s="34"/>
    </row>
    <row r="400" spans="1:1" ht="15.75" customHeight="1">
      <c r="A400" s="34"/>
    </row>
    <row r="401" spans="1:1" ht="15.75" customHeight="1">
      <c r="A401" s="34"/>
    </row>
    <row r="402" spans="1:1" ht="15.75" customHeight="1">
      <c r="A402" s="34"/>
    </row>
    <row r="403" spans="1:1" ht="15.75" customHeight="1">
      <c r="A403" s="34"/>
    </row>
    <row r="404" spans="1:1" ht="15.75" customHeight="1">
      <c r="A404" s="34"/>
    </row>
    <row r="405" spans="1:1" ht="15.75" customHeight="1">
      <c r="A405" s="34"/>
    </row>
    <row r="406" spans="1:1" ht="15.75" customHeight="1">
      <c r="A406" s="34"/>
    </row>
    <row r="407" spans="1:1" ht="15.75" customHeight="1">
      <c r="A407" s="34"/>
    </row>
    <row r="408" spans="1:1" ht="15.75" customHeight="1">
      <c r="A408" s="34"/>
    </row>
    <row r="409" spans="1:1" ht="15.75" customHeight="1">
      <c r="A409" s="34"/>
    </row>
    <row r="410" spans="1:1" ht="15.75" customHeight="1">
      <c r="A410" s="34"/>
    </row>
    <row r="411" spans="1:1" ht="15.75" customHeight="1">
      <c r="A411" s="34"/>
    </row>
    <row r="412" spans="1:1" ht="15.75" customHeight="1">
      <c r="A412" s="34"/>
    </row>
    <row r="413" spans="1:1" ht="15.75" customHeight="1">
      <c r="A413" s="34"/>
    </row>
    <row r="414" spans="1:1" ht="15.75" customHeight="1">
      <c r="A414" s="34"/>
    </row>
    <row r="415" spans="1:1" ht="15.75" customHeight="1">
      <c r="A415" s="34"/>
    </row>
    <row r="416" spans="1:1" ht="15.75" customHeight="1">
      <c r="A416" s="34"/>
    </row>
    <row r="417" spans="1:1" ht="15.75" customHeight="1">
      <c r="A417" s="34"/>
    </row>
    <row r="418" spans="1:1" ht="15.75" customHeight="1">
      <c r="A418" s="34"/>
    </row>
    <row r="419" spans="1:1" ht="15.75" customHeight="1">
      <c r="A419" s="34"/>
    </row>
    <row r="420" spans="1:1" ht="15.75" customHeight="1">
      <c r="A420" s="34"/>
    </row>
    <row r="421" spans="1:1" ht="15.75" customHeight="1">
      <c r="A421" s="34"/>
    </row>
    <row r="422" spans="1:1" ht="15.75" customHeight="1">
      <c r="A422" s="34"/>
    </row>
    <row r="423" spans="1:1" ht="15.75" customHeight="1">
      <c r="A423" s="34"/>
    </row>
    <row r="424" spans="1:1" ht="15.75" customHeight="1">
      <c r="A424" s="34"/>
    </row>
    <row r="425" spans="1:1" ht="15.75" customHeight="1">
      <c r="A425" s="34"/>
    </row>
    <row r="426" spans="1:1" ht="15.75" customHeight="1">
      <c r="A426" s="34"/>
    </row>
    <row r="427" spans="1:1" ht="15.75" customHeight="1">
      <c r="A427" s="34"/>
    </row>
    <row r="428" spans="1:1" ht="15.75" customHeight="1">
      <c r="A428" s="34"/>
    </row>
    <row r="429" spans="1:1" ht="15.75" customHeight="1">
      <c r="A429" s="34"/>
    </row>
    <row r="430" spans="1:1" ht="15.75" customHeight="1">
      <c r="A430" s="34"/>
    </row>
    <row r="431" spans="1:1" ht="15.75" customHeight="1">
      <c r="A431" s="34"/>
    </row>
    <row r="432" spans="1:1" ht="15.75" customHeight="1">
      <c r="A432" s="34"/>
    </row>
    <row r="433" spans="1:1" ht="15.75" customHeight="1">
      <c r="A433" s="34"/>
    </row>
    <row r="434" spans="1:1" ht="15.75" customHeight="1">
      <c r="A434" s="34"/>
    </row>
    <row r="435" spans="1:1" ht="15.75" customHeight="1">
      <c r="A435" s="34"/>
    </row>
    <row r="436" spans="1:1" ht="15.75" customHeight="1">
      <c r="A436" s="34"/>
    </row>
    <row r="437" spans="1:1" ht="15.75" customHeight="1">
      <c r="A437" s="34"/>
    </row>
    <row r="438" spans="1:1" ht="15.75" customHeight="1">
      <c r="A438" s="34"/>
    </row>
    <row r="439" spans="1:1" ht="15.75" customHeight="1">
      <c r="A439" s="34"/>
    </row>
    <row r="440" spans="1:1" ht="15.75" customHeight="1">
      <c r="A440" s="34"/>
    </row>
    <row r="441" spans="1:1" ht="15.75" customHeight="1">
      <c r="A441" s="34"/>
    </row>
    <row r="442" spans="1:1" ht="15.75" customHeight="1">
      <c r="A442" s="34"/>
    </row>
    <row r="443" spans="1:1" ht="15.75" customHeight="1">
      <c r="A443" s="34"/>
    </row>
    <row r="444" spans="1:1" ht="15.75" customHeight="1">
      <c r="A444" s="34"/>
    </row>
    <row r="445" spans="1:1" ht="15.75" customHeight="1">
      <c r="A445" s="34"/>
    </row>
    <row r="446" spans="1:1" ht="15.75" customHeight="1">
      <c r="A446" s="34"/>
    </row>
    <row r="447" spans="1:1" ht="15.75" customHeight="1">
      <c r="A447" s="34"/>
    </row>
    <row r="448" spans="1:1" ht="15.75" customHeight="1">
      <c r="A448" s="34"/>
    </row>
    <row r="449" spans="1:1" ht="15.75" customHeight="1">
      <c r="A449" s="34"/>
    </row>
    <row r="450" spans="1:1" ht="15.75" customHeight="1">
      <c r="A450" s="34"/>
    </row>
    <row r="451" spans="1:1" ht="15.75" customHeight="1">
      <c r="A451" s="34"/>
    </row>
    <row r="452" spans="1:1" ht="15.75" customHeight="1">
      <c r="A452" s="34"/>
    </row>
    <row r="453" spans="1:1" ht="15.75" customHeight="1">
      <c r="A453" s="34"/>
    </row>
    <row r="454" spans="1:1" ht="15.75" customHeight="1">
      <c r="A454" s="34"/>
    </row>
    <row r="455" spans="1:1" ht="15.75" customHeight="1">
      <c r="A455" s="34"/>
    </row>
    <row r="456" spans="1:1" ht="15.75" customHeight="1">
      <c r="A456" s="34"/>
    </row>
    <row r="457" spans="1:1" ht="15.75" customHeight="1">
      <c r="A457" s="34"/>
    </row>
    <row r="458" spans="1:1" ht="15.75" customHeight="1">
      <c r="A458" s="34"/>
    </row>
    <row r="459" spans="1:1" ht="15.75" customHeight="1">
      <c r="A459" s="34"/>
    </row>
    <row r="460" spans="1:1" ht="15.75" customHeight="1">
      <c r="A460" s="34"/>
    </row>
    <row r="461" spans="1:1" ht="15.75" customHeight="1">
      <c r="A461" s="34"/>
    </row>
    <row r="462" spans="1:1" ht="15.75" customHeight="1">
      <c r="A462" s="34"/>
    </row>
    <row r="463" spans="1:1" ht="15.75" customHeight="1">
      <c r="A463" s="34"/>
    </row>
    <row r="464" spans="1:1" ht="15.75" customHeight="1">
      <c r="A464" s="34"/>
    </row>
    <row r="465" spans="1:1" ht="15.75" customHeight="1">
      <c r="A465" s="34"/>
    </row>
    <row r="466" spans="1:1" ht="15.75" customHeight="1">
      <c r="A466" s="34"/>
    </row>
    <row r="467" spans="1:1" ht="15.75" customHeight="1">
      <c r="A467" s="34"/>
    </row>
    <row r="468" spans="1:1" ht="15.75" customHeight="1">
      <c r="A468" s="34"/>
    </row>
    <row r="469" spans="1:1" ht="15.75" customHeight="1">
      <c r="A469" s="34"/>
    </row>
    <row r="470" spans="1:1" ht="15.75" customHeight="1">
      <c r="A470" s="34"/>
    </row>
    <row r="471" spans="1:1" ht="15.75" customHeight="1">
      <c r="A471" s="34"/>
    </row>
    <row r="472" spans="1:1" ht="15.75" customHeight="1">
      <c r="A472" s="34"/>
    </row>
    <row r="473" spans="1:1" ht="15.75" customHeight="1">
      <c r="A473" s="34"/>
    </row>
    <row r="474" spans="1:1" ht="15.75" customHeight="1">
      <c r="A474" s="34"/>
    </row>
    <row r="475" spans="1:1" ht="15.75" customHeight="1">
      <c r="A475" s="34"/>
    </row>
    <row r="476" spans="1:1" ht="15.75" customHeight="1">
      <c r="A476" s="34"/>
    </row>
    <row r="477" spans="1:1" ht="15.75" customHeight="1">
      <c r="A477" s="34"/>
    </row>
    <row r="478" spans="1:1" ht="15.75" customHeight="1">
      <c r="A478" s="34"/>
    </row>
    <row r="479" spans="1:1" ht="15.75" customHeight="1">
      <c r="A479" s="34"/>
    </row>
    <row r="480" spans="1:1" ht="15.75" customHeight="1">
      <c r="A480" s="34"/>
    </row>
    <row r="481" spans="1:1" ht="15.75" customHeight="1">
      <c r="A481" s="34"/>
    </row>
    <row r="482" spans="1:1" ht="15.75" customHeight="1">
      <c r="A482" s="34"/>
    </row>
    <row r="483" spans="1:1" ht="15.75" customHeight="1">
      <c r="A483" s="34"/>
    </row>
    <row r="484" spans="1:1" ht="15.75" customHeight="1">
      <c r="A484" s="34"/>
    </row>
    <row r="485" spans="1:1" ht="15.75" customHeight="1">
      <c r="A485" s="34"/>
    </row>
    <row r="486" spans="1:1" ht="15.75" customHeight="1">
      <c r="A486" s="34"/>
    </row>
    <row r="487" spans="1:1" ht="15.75" customHeight="1">
      <c r="A487" s="34"/>
    </row>
    <row r="488" spans="1:1" ht="15.75" customHeight="1">
      <c r="A488" s="34"/>
    </row>
    <row r="489" spans="1:1" ht="15.75" customHeight="1">
      <c r="A489" s="34"/>
    </row>
    <row r="490" spans="1:1" ht="15.75" customHeight="1">
      <c r="A490" s="34"/>
    </row>
    <row r="491" spans="1:1" ht="15.75" customHeight="1">
      <c r="A491" s="34"/>
    </row>
    <row r="492" spans="1:1" ht="15.75" customHeight="1">
      <c r="A492" s="34"/>
    </row>
    <row r="493" spans="1:1" ht="15.75" customHeight="1">
      <c r="A493" s="34"/>
    </row>
    <row r="494" spans="1:1" ht="15.75" customHeight="1">
      <c r="A494" s="34"/>
    </row>
    <row r="495" spans="1:1" ht="15.75" customHeight="1">
      <c r="A495" s="34"/>
    </row>
    <row r="496" spans="1:1" ht="15.75" customHeight="1">
      <c r="A496" s="34"/>
    </row>
    <row r="497" spans="1:1" ht="15.75" customHeight="1">
      <c r="A497" s="34"/>
    </row>
    <row r="498" spans="1:1" ht="15.75" customHeight="1">
      <c r="A498" s="34"/>
    </row>
    <row r="499" spans="1:1" ht="15.75" customHeight="1">
      <c r="A499" s="34"/>
    </row>
    <row r="500" spans="1:1" ht="15.75" customHeight="1">
      <c r="A500" s="34"/>
    </row>
    <row r="501" spans="1:1" ht="15.75" customHeight="1">
      <c r="A501" s="34"/>
    </row>
    <row r="502" spans="1:1" ht="15.75" customHeight="1">
      <c r="A502" s="34"/>
    </row>
    <row r="503" spans="1:1" ht="15.75" customHeight="1">
      <c r="A503" s="34"/>
    </row>
    <row r="504" spans="1:1" ht="15.75" customHeight="1">
      <c r="A504" s="34"/>
    </row>
    <row r="505" spans="1:1" ht="15.75" customHeight="1">
      <c r="A505" s="34"/>
    </row>
    <row r="506" spans="1:1" ht="15.75" customHeight="1">
      <c r="A506" s="34"/>
    </row>
    <row r="507" spans="1:1" ht="15.75" customHeight="1">
      <c r="A507" s="34"/>
    </row>
    <row r="508" spans="1:1" ht="15.75" customHeight="1">
      <c r="A508" s="34"/>
    </row>
    <row r="509" spans="1:1" ht="15.75" customHeight="1">
      <c r="A509" s="34"/>
    </row>
    <row r="510" spans="1:1" ht="15.75" customHeight="1">
      <c r="A510" s="34"/>
    </row>
    <row r="511" spans="1:1" ht="15.75" customHeight="1">
      <c r="A511" s="34"/>
    </row>
    <row r="512" spans="1:1" ht="15.75" customHeight="1">
      <c r="A512" s="34"/>
    </row>
    <row r="513" spans="1:1" ht="15.75" customHeight="1">
      <c r="A513" s="34"/>
    </row>
    <row r="514" spans="1:1" ht="15.75" customHeight="1">
      <c r="A514" s="34"/>
    </row>
    <row r="515" spans="1:1" ht="15.75" customHeight="1">
      <c r="A515" s="34"/>
    </row>
    <row r="516" spans="1:1" ht="15.75" customHeight="1">
      <c r="A516" s="34"/>
    </row>
    <row r="517" spans="1:1" ht="15.75" customHeight="1">
      <c r="A517" s="34"/>
    </row>
    <row r="518" spans="1:1" ht="15.75" customHeight="1">
      <c r="A518" s="34"/>
    </row>
    <row r="519" spans="1:1" ht="15.75" customHeight="1">
      <c r="A519" s="34"/>
    </row>
    <row r="520" spans="1:1" ht="15.75" customHeight="1">
      <c r="A520" s="34"/>
    </row>
    <row r="521" spans="1:1" ht="15.75" customHeight="1">
      <c r="A521" s="34"/>
    </row>
    <row r="522" spans="1:1" ht="15.75" customHeight="1">
      <c r="A522" s="34"/>
    </row>
    <row r="523" spans="1:1" ht="15.75" customHeight="1">
      <c r="A523" s="34"/>
    </row>
    <row r="524" spans="1:1" ht="15.75" customHeight="1">
      <c r="A524" s="34"/>
    </row>
    <row r="525" spans="1:1" ht="15.75" customHeight="1">
      <c r="A525" s="34"/>
    </row>
    <row r="526" spans="1:1" ht="15.75" customHeight="1">
      <c r="A526" s="34"/>
    </row>
    <row r="527" spans="1:1" ht="15.75" customHeight="1">
      <c r="A527" s="34"/>
    </row>
    <row r="528" spans="1:1" ht="15.75" customHeight="1">
      <c r="A528" s="34"/>
    </row>
    <row r="529" spans="1:1" ht="15.75" customHeight="1">
      <c r="A529" s="34"/>
    </row>
    <row r="530" spans="1:1" ht="15.75" customHeight="1">
      <c r="A530" s="34"/>
    </row>
    <row r="531" spans="1:1" ht="15.75" customHeight="1">
      <c r="A531" s="34"/>
    </row>
    <row r="532" spans="1:1" ht="15.75" customHeight="1">
      <c r="A532" s="34"/>
    </row>
    <row r="533" spans="1:1" ht="15.75" customHeight="1">
      <c r="A533" s="34"/>
    </row>
    <row r="534" spans="1:1" ht="15.75" customHeight="1">
      <c r="A534" s="34"/>
    </row>
    <row r="535" spans="1:1" ht="15.75" customHeight="1">
      <c r="A535" s="34"/>
    </row>
    <row r="536" spans="1:1" ht="15.75" customHeight="1">
      <c r="A536" s="34"/>
    </row>
    <row r="537" spans="1:1" ht="15.75" customHeight="1">
      <c r="A537" s="34"/>
    </row>
    <row r="538" spans="1:1" ht="15.75" customHeight="1">
      <c r="A538" s="34"/>
    </row>
    <row r="539" spans="1:1" ht="15.75" customHeight="1">
      <c r="A539" s="34"/>
    </row>
    <row r="540" spans="1:1" ht="15.75" customHeight="1">
      <c r="A540" s="34"/>
    </row>
    <row r="541" spans="1:1" ht="15.75" customHeight="1">
      <c r="A541" s="34"/>
    </row>
    <row r="542" spans="1:1" ht="15.75" customHeight="1">
      <c r="A542" s="34"/>
    </row>
    <row r="543" spans="1:1" ht="15.75" customHeight="1">
      <c r="A543" s="34"/>
    </row>
    <row r="544" spans="1:1" ht="15.75" customHeight="1">
      <c r="A544" s="34"/>
    </row>
    <row r="545" spans="1:1" ht="15.75" customHeight="1">
      <c r="A545" s="34"/>
    </row>
    <row r="546" spans="1:1" ht="15.75" customHeight="1">
      <c r="A546" s="34"/>
    </row>
    <row r="547" spans="1:1" ht="15.75" customHeight="1">
      <c r="A547" s="34"/>
    </row>
    <row r="548" spans="1:1" ht="15.75" customHeight="1">
      <c r="A548" s="34"/>
    </row>
    <row r="549" spans="1:1" ht="15.75" customHeight="1">
      <c r="A549" s="34"/>
    </row>
    <row r="550" spans="1:1" ht="15.75" customHeight="1">
      <c r="A550" s="34"/>
    </row>
    <row r="551" spans="1:1" ht="15.75" customHeight="1">
      <c r="A551" s="34"/>
    </row>
    <row r="552" spans="1:1" ht="15.75" customHeight="1">
      <c r="A552" s="34"/>
    </row>
    <row r="553" spans="1:1" ht="15.75" customHeight="1">
      <c r="A553" s="34"/>
    </row>
    <row r="554" spans="1:1" ht="15.75" customHeight="1">
      <c r="A554" s="34"/>
    </row>
    <row r="555" spans="1:1" ht="15.75" customHeight="1">
      <c r="A555" s="34"/>
    </row>
    <row r="556" spans="1:1" ht="15.75" customHeight="1">
      <c r="A556" s="34"/>
    </row>
    <row r="557" spans="1:1" ht="15.75" customHeight="1">
      <c r="A557" s="34"/>
    </row>
    <row r="558" spans="1:1" ht="15.75" customHeight="1">
      <c r="A558" s="34"/>
    </row>
    <row r="559" spans="1:1" ht="15.75" customHeight="1">
      <c r="A559" s="34"/>
    </row>
    <row r="560" spans="1:1" ht="15.75" customHeight="1">
      <c r="A560" s="34"/>
    </row>
    <row r="561" spans="1:1" ht="15.75" customHeight="1">
      <c r="A561" s="34"/>
    </row>
    <row r="562" spans="1:1" ht="15.75" customHeight="1">
      <c r="A562" s="34"/>
    </row>
    <row r="563" spans="1:1" ht="15.75" customHeight="1">
      <c r="A563" s="34"/>
    </row>
    <row r="564" spans="1:1" ht="15.75" customHeight="1">
      <c r="A564" s="34"/>
    </row>
    <row r="565" spans="1:1" ht="15.75" customHeight="1">
      <c r="A565" s="34"/>
    </row>
    <row r="566" spans="1:1" ht="15.75" customHeight="1">
      <c r="A566" s="34"/>
    </row>
    <row r="567" spans="1:1" ht="15.75" customHeight="1">
      <c r="A567" s="34"/>
    </row>
    <row r="568" spans="1:1" ht="15.75" customHeight="1">
      <c r="A568" s="34"/>
    </row>
    <row r="569" spans="1:1" ht="15.75" customHeight="1">
      <c r="A569" s="34"/>
    </row>
    <row r="570" spans="1:1" ht="15.75" customHeight="1">
      <c r="A570" s="34"/>
    </row>
    <row r="571" spans="1:1" ht="15.75" customHeight="1">
      <c r="A571" s="34"/>
    </row>
    <row r="572" spans="1:1" ht="15.75" customHeight="1">
      <c r="A572" s="34"/>
    </row>
    <row r="573" spans="1:1" ht="15.75" customHeight="1">
      <c r="A573" s="34"/>
    </row>
    <row r="574" spans="1:1" ht="15.75" customHeight="1">
      <c r="A574" s="34"/>
    </row>
    <row r="575" spans="1:1" ht="15.75" customHeight="1">
      <c r="A575" s="34"/>
    </row>
    <row r="576" spans="1:1" ht="15.75" customHeight="1">
      <c r="A576" s="34"/>
    </row>
    <row r="577" spans="1:1" ht="15.75" customHeight="1">
      <c r="A577" s="34"/>
    </row>
    <row r="578" spans="1:1" ht="15.75" customHeight="1">
      <c r="A578" s="34"/>
    </row>
    <row r="579" spans="1:1" ht="15.75" customHeight="1">
      <c r="A579" s="34"/>
    </row>
    <row r="580" spans="1:1" ht="15.75" customHeight="1">
      <c r="A580" s="34"/>
    </row>
    <row r="581" spans="1:1" ht="15.75" customHeight="1">
      <c r="A581" s="34"/>
    </row>
    <row r="582" spans="1:1" ht="15.75" customHeight="1">
      <c r="A582" s="34"/>
    </row>
    <row r="583" spans="1:1" ht="15.75" customHeight="1">
      <c r="A583" s="34"/>
    </row>
    <row r="584" spans="1:1" ht="15.75" customHeight="1">
      <c r="A584" s="34"/>
    </row>
    <row r="585" spans="1:1" ht="15.75" customHeight="1">
      <c r="A585" s="34"/>
    </row>
    <row r="586" spans="1:1" ht="15.75" customHeight="1">
      <c r="A586" s="34"/>
    </row>
    <row r="587" spans="1:1" ht="15.75" customHeight="1">
      <c r="A587" s="34"/>
    </row>
    <row r="588" spans="1:1" ht="15.75" customHeight="1">
      <c r="A588" s="34"/>
    </row>
    <row r="589" spans="1:1" ht="15.75" customHeight="1">
      <c r="A589" s="34"/>
    </row>
    <row r="590" spans="1:1" ht="15.75" customHeight="1">
      <c r="A590" s="34"/>
    </row>
    <row r="591" spans="1:1" ht="15.75" customHeight="1">
      <c r="A591" s="34"/>
    </row>
    <row r="592" spans="1:1" ht="15.75" customHeight="1">
      <c r="A592" s="34"/>
    </row>
    <row r="593" spans="1:1" ht="15.75" customHeight="1">
      <c r="A593" s="34"/>
    </row>
    <row r="594" spans="1:1" ht="15.75" customHeight="1">
      <c r="A594" s="34"/>
    </row>
    <row r="595" spans="1:1" ht="15.75" customHeight="1">
      <c r="A595" s="34"/>
    </row>
    <row r="596" spans="1:1" ht="15.75" customHeight="1">
      <c r="A596" s="34"/>
    </row>
    <row r="597" spans="1:1" ht="15.75" customHeight="1">
      <c r="A597" s="34"/>
    </row>
    <row r="598" spans="1:1" ht="15.75" customHeight="1">
      <c r="A598" s="34"/>
    </row>
    <row r="599" spans="1:1" ht="15.75" customHeight="1">
      <c r="A599" s="34"/>
    </row>
    <row r="600" spans="1:1" ht="15.75" customHeight="1">
      <c r="A600" s="34"/>
    </row>
    <row r="601" spans="1:1" ht="15.75" customHeight="1">
      <c r="A601" s="34"/>
    </row>
    <row r="602" spans="1:1" ht="15.75" customHeight="1">
      <c r="A602" s="34"/>
    </row>
    <row r="603" spans="1:1" ht="15.75" customHeight="1">
      <c r="A603" s="34"/>
    </row>
    <row r="604" spans="1:1" ht="15.75" customHeight="1">
      <c r="A604" s="34"/>
    </row>
    <row r="605" spans="1:1" ht="15.75" customHeight="1">
      <c r="A605" s="34"/>
    </row>
    <row r="606" spans="1:1" ht="15.75" customHeight="1">
      <c r="A606" s="34"/>
    </row>
    <row r="607" spans="1:1" ht="15.75" customHeight="1">
      <c r="A607" s="34"/>
    </row>
    <row r="608" spans="1:1" ht="15.75" customHeight="1">
      <c r="A608" s="34"/>
    </row>
    <row r="609" spans="1:1" ht="15.75" customHeight="1">
      <c r="A609" s="34"/>
    </row>
    <row r="610" spans="1:1" ht="15.75" customHeight="1">
      <c r="A610" s="34"/>
    </row>
    <row r="611" spans="1:1" ht="15.75" customHeight="1">
      <c r="A611" s="34"/>
    </row>
    <row r="612" spans="1:1" ht="15.75" customHeight="1">
      <c r="A612" s="34"/>
    </row>
    <row r="613" spans="1:1" ht="15.75" customHeight="1">
      <c r="A613" s="34"/>
    </row>
    <row r="614" spans="1:1" ht="15.75" customHeight="1">
      <c r="A614" s="34"/>
    </row>
    <row r="615" spans="1:1" ht="15.75" customHeight="1">
      <c r="A615" s="34"/>
    </row>
    <row r="616" spans="1:1" ht="15.75" customHeight="1">
      <c r="A616" s="34"/>
    </row>
    <row r="617" spans="1:1" ht="15.75" customHeight="1">
      <c r="A617" s="34"/>
    </row>
    <row r="618" spans="1:1" ht="15.75" customHeight="1">
      <c r="A618" s="34"/>
    </row>
    <row r="619" spans="1:1" ht="15.75" customHeight="1">
      <c r="A619" s="34"/>
    </row>
    <row r="620" spans="1:1" ht="15.75" customHeight="1">
      <c r="A620" s="34"/>
    </row>
    <row r="621" spans="1:1" ht="15.75" customHeight="1">
      <c r="A621" s="34"/>
    </row>
    <row r="622" spans="1:1" ht="15.75" customHeight="1">
      <c r="A622" s="34"/>
    </row>
    <row r="623" spans="1:1" ht="15.75" customHeight="1">
      <c r="A623" s="34"/>
    </row>
    <row r="624" spans="1:1" ht="15.75" customHeight="1">
      <c r="A624" s="34"/>
    </row>
    <row r="625" spans="1:1" ht="15.75" customHeight="1">
      <c r="A625" s="34"/>
    </row>
    <row r="626" spans="1:1" ht="15.75" customHeight="1">
      <c r="A626" s="34"/>
    </row>
    <row r="627" spans="1:1" ht="15.75" customHeight="1">
      <c r="A627" s="34"/>
    </row>
    <row r="628" spans="1:1" ht="15.75" customHeight="1">
      <c r="A628" s="34"/>
    </row>
    <row r="629" spans="1:1" ht="15.75" customHeight="1">
      <c r="A629" s="34"/>
    </row>
    <row r="630" spans="1:1" ht="15.75" customHeight="1">
      <c r="A630" s="34"/>
    </row>
    <row r="631" spans="1:1" ht="15.75" customHeight="1">
      <c r="A631" s="34"/>
    </row>
    <row r="632" spans="1:1" ht="15.75" customHeight="1">
      <c r="A632" s="34"/>
    </row>
    <row r="633" spans="1:1" ht="15.75" customHeight="1">
      <c r="A633" s="34"/>
    </row>
    <row r="634" spans="1:1" ht="15.75" customHeight="1">
      <c r="A634" s="34"/>
    </row>
    <row r="635" spans="1:1" ht="15.75" customHeight="1">
      <c r="A635" s="34"/>
    </row>
    <row r="636" spans="1:1" ht="15.75" customHeight="1">
      <c r="A636" s="34"/>
    </row>
    <row r="637" spans="1:1" ht="15.75" customHeight="1">
      <c r="A637" s="34"/>
    </row>
    <row r="638" spans="1:1" ht="15.75" customHeight="1">
      <c r="A638" s="34"/>
    </row>
    <row r="639" spans="1:1" ht="15.75" customHeight="1">
      <c r="A639" s="34"/>
    </row>
    <row r="640" spans="1:1" ht="15.75" customHeight="1">
      <c r="A640" s="34"/>
    </row>
    <row r="641" spans="1:1" ht="15.75" customHeight="1">
      <c r="A641" s="34"/>
    </row>
    <row r="642" spans="1:1" ht="15.75" customHeight="1">
      <c r="A642" s="34"/>
    </row>
    <row r="643" spans="1:1" ht="15.75" customHeight="1">
      <c r="A643" s="34"/>
    </row>
    <row r="644" spans="1:1" ht="15.75" customHeight="1">
      <c r="A644" s="34"/>
    </row>
    <row r="645" spans="1:1" ht="15.75" customHeight="1">
      <c r="A645" s="34"/>
    </row>
    <row r="646" spans="1:1" ht="15.75" customHeight="1">
      <c r="A646" s="34"/>
    </row>
    <row r="647" spans="1:1" ht="15.75" customHeight="1">
      <c r="A647" s="34"/>
    </row>
    <row r="648" spans="1:1" ht="15.75" customHeight="1">
      <c r="A648" s="34"/>
    </row>
    <row r="649" spans="1:1" ht="15.75" customHeight="1">
      <c r="A649" s="34"/>
    </row>
    <row r="650" spans="1:1" ht="15.75" customHeight="1">
      <c r="A650" s="34"/>
    </row>
    <row r="651" spans="1:1" ht="15.75" customHeight="1">
      <c r="A651" s="34"/>
    </row>
    <row r="652" spans="1:1" ht="15.75" customHeight="1">
      <c r="A652" s="34"/>
    </row>
    <row r="653" spans="1:1" ht="15.75" customHeight="1">
      <c r="A653" s="34"/>
    </row>
    <row r="654" spans="1:1" ht="15.75" customHeight="1">
      <c r="A654" s="34"/>
    </row>
    <row r="655" spans="1:1" ht="15.75" customHeight="1">
      <c r="A655" s="34"/>
    </row>
    <row r="656" spans="1:1" ht="15.75" customHeight="1">
      <c r="A656" s="34"/>
    </row>
    <row r="657" spans="1:1" ht="15.75" customHeight="1">
      <c r="A657" s="34"/>
    </row>
    <row r="658" spans="1:1" ht="15.75" customHeight="1">
      <c r="A658" s="34"/>
    </row>
    <row r="659" spans="1:1" ht="15.75" customHeight="1">
      <c r="A659" s="34"/>
    </row>
    <row r="660" spans="1:1" ht="15.75" customHeight="1">
      <c r="A660" s="34"/>
    </row>
    <row r="661" spans="1:1" ht="15.75" customHeight="1">
      <c r="A661" s="34"/>
    </row>
    <row r="662" spans="1:1" ht="15.75" customHeight="1">
      <c r="A662" s="34"/>
    </row>
    <row r="663" spans="1:1" ht="15.75" customHeight="1">
      <c r="A663" s="34"/>
    </row>
    <row r="664" spans="1:1" ht="15.75" customHeight="1">
      <c r="A664" s="34"/>
    </row>
    <row r="665" spans="1:1" ht="15.75" customHeight="1">
      <c r="A665" s="34"/>
    </row>
    <row r="666" spans="1:1" ht="15.75" customHeight="1">
      <c r="A666" s="34"/>
    </row>
    <row r="667" spans="1:1" ht="15.75" customHeight="1">
      <c r="A667" s="34"/>
    </row>
    <row r="668" spans="1:1" ht="15.75" customHeight="1">
      <c r="A668" s="34"/>
    </row>
    <row r="669" spans="1:1" ht="15.75" customHeight="1">
      <c r="A669" s="34"/>
    </row>
    <row r="670" spans="1:1" ht="15.75" customHeight="1">
      <c r="A670" s="34"/>
    </row>
    <row r="671" spans="1:1" ht="15.75" customHeight="1">
      <c r="A671" s="34"/>
    </row>
    <row r="672" spans="1:1" ht="15.75" customHeight="1">
      <c r="A672" s="34"/>
    </row>
    <row r="673" spans="1:1" ht="15.75" customHeight="1">
      <c r="A673" s="34"/>
    </row>
    <row r="674" spans="1:1" ht="15.75" customHeight="1">
      <c r="A674" s="34"/>
    </row>
    <row r="675" spans="1:1" ht="15.75" customHeight="1">
      <c r="A675" s="34"/>
    </row>
    <row r="676" spans="1:1" ht="15.75" customHeight="1">
      <c r="A676" s="34"/>
    </row>
    <row r="677" spans="1:1" ht="15.75" customHeight="1">
      <c r="A677" s="34"/>
    </row>
    <row r="678" spans="1:1" ht="15.75" customHeight="1">
      <c r="A678" s="34"/>
    </row>
    <row r="679" spans="1:1" ht="15.75" customHeight="1">
      <c r="A679" s="34"/>
    </row>
    <row r="680" spans="1:1" ht="15.75" customHeight="1">
      <c r="A680" s="34"/>
    </row>
    <row r="681" spans="1:1" ht="15.75" customHeight="1">
      <c r="A681" s="34"/>
    </row>
    <row r="682" spans="1:1" ht="15.75" customHeight="1">
      <c r="A682" s="34"/>
    </row>
    <row r="683" spans="1:1" ht="15.75" customHeight="1">
      <c r="A683" s="34"/>
    </row>
    <row r="684" spans="1:1" ht="15.75" customHeight="1">
      <c r="A684" s="34"/>
    </row>
    <row r="685" spans="1:1" ht="15.75" customHeight="1">
      <c r="A685" s="34"/>
    </row>
    <row r="686" spans="1:1" ht="15.75" customHeight="1">
      <c r="A686" s="34"/>
    </row>
    <row r="687" spans="1:1" ht="15.75" customHeight="1">
      <c r="A687" s="34"/>
    </row>
    <row r="688" spans="1:1" ht="15.75" customHeight="1">
      <c r="A688" s="34"/>
    </row>
    <row r="689" spans="1:1" ht="15.75" customHeight="1">
      <c r="A689" s="34"/>
    </row>
    <row r="690" spans="1:1" ht="15.75" customHeight="1">
      <c r="A690" s="34"/>
    </row>
    <row r="691" spans="1:1" ht="15.75" customHeight="1">
      <c r="A691" s="34"/>
    </row>
    <row r="692" spans="1:1" ht="15.75" customHeight="1">
      <c r="A692" s="34"/>
    </row>
    <row r="693" spans="1:1" ht="15.75" customHeight="1">
      <c r="A693" s="34"/>
    </row>
    <row r="694" spans="1:1" ht="15.75" customHeight="1">
      <c r="A694" s="34"/>
    </row>
    <row r="695" spans="1:1" ht="15.75" customHeight="1">
      <c r="A695" s="34"/>
    </row>
    <row r="696" spans="1:1" ht="15.75" customHeight="1">
      <c r="A696" s="34"/>
    </row>
    <row r="697" spans="1:1" ht="15.75" customHeight="1">
      <c r="A697" s="34"/>
    </row>
    <row r="698" spans="1:1" ht="15.75" customHeight="1">
      <c r="A698" s="34"/>
    </row>
    <row r="699" spans="1:1" ht="15.75" customHeight="1">
      <c r="A699" s="34"/>
    </row>
    <row r="700" spans="1:1" ht="15.75" customHeight="1">
      <c r="A700" s="34"/>
    </row>
    <row r="701" spans="1:1" ht="15.75" customHeight="1">
      <c r="A701" s="34"/>
    </row>
    <row r="702" spans="1:1" ht="15.75" customHeight="1">
      <c r="A702" s="34"/>
    </row>
    <row r="703" spans="1:1" ht="15.75" customHeight="1">
      <c r="A703" s="34"/>
    </row>
    <row r="704" spans="1:1" ht="15.75" customHeight="1">
      <c r="A704" s="34"/>
    </row>
    <row r="705" spans="1:1" ht="15.75" customHeight="1">
      <c r="A705" s="34"/>
    </row>
    <row r="706" spans="1:1" ht="15.75" customHeight="1">
      <c r="A706" s="34"/>
    </row>
    <row r="707" spans="1:1" ht="15.75" customHeight="1">
      <c r="A707" s="34"/>
    </row>
    <row r="708" spans="1:1" ht="15.75" customHeight="1">
      <c r="A708" s="34"/>
    </row>
    <row r="709" spans="1:1" ht="15.75" customHeight="1">
      <c r="A709" s="34"/>
    </row>
    <row r="710" spans="1:1" ht="15.75" customHeight="1">
      <c r="A710" s="34"/>
    </row>
    <row r="711" spans="1:1" ht="15.75" customHeight="1">
      <c r="A711" s="34"/>
    </row>
    <row r="712" spans="1:1" ht="15.75" customHeight="1">
      <c r="A712" s="34"/>
    </row>
    <row r="713" spans="1:1" ht="15.75" customHeight="1">
      <c r="A713" s="34"/>
    </row>
    <row r="714" spans="1:1" ht="15.75" customHeight="1">
      <c r="A714" s="34"/>
    </row>
    <row r="715" spans="1:1" ht="15.75" customHeight="1">
      <c r="A715" s="34"/>
    </row>
    <row r="716" spans="1:1" ht="15.75" customHeight="1">
      <c r="A716" s="34"/>
    </row>
    <row r="717" spans="1:1" ht="15.75" customHeight="1">
      <c r="A717" s="34"/>
    </row>
    <row r="718" spans="1:1" ht="15.75" customHeight="1">
      <c r="A718" s="34"/>
    </row>
    <row r="719" spans="1:1" ht="15.75" customHeight="1">
      <c r="A719" s="34"/>
    </row>
    <row r="720" spans="1:1" ht="15.75" customHeight="1">
      <c r="A720" s="34"/>
    </row>
    <row r="721" spans="1:1" ht="15.75" customHeight="1">
      <c r="A721" s="34"/>
    </row>
    <row r="722" spans="1:1" ht="15.75" customHeight="1">
      <c r="A722" s="34"/>
    </row>
    <row r="723" spans="1:1" ht="15.75" customHeight="1">
      <c r="A723" s="34"/>
    </row>
    <row r="724" spans="1:1" ht="15.75" customHeight="1">
      <c r="A724" s="34"/>
    </row>
    <row r="725" spans="1:1" ht="15.75" customHeight="1">
      <c r="A725" s="34"/>
    </row>
    <row r="726" spans="1:1" ht="15.75" customHeight="1">
      <c r="A726" s="34"/>
    </row>
    <row r="727" spans="1:1" ht="15.75" customHeight="1">
      <c r="A727" s="34"/>
    </row>
    <row r="728" spans="1:1" ht="15.75" customHeight="1">
      <c r="A728" s="34"/>
    </row>
    <row r="729" spans="1:1" ht="15.75" customHeight="1">
      <c r="A729" s="34"/>
    </row>
    <row r="730" spans="1:1" ht="15.75" customHeight="1">
      <c r="A730" s="34"/>
    </row>
    <row r="731" spans="1:1" ht="15.75" customHeight="1">
      <c r="A731" s="34"/>
    </row>
    <row r="732" spans="1:1" ht="15.75" customHeight="1">
      <c r="A732" s="34"/>
    </row>
    <row r="733" spans="1:1" ht="15.75" customHeight="1">
      <c r="A733" s="34"/>
    </row>
    <row r="734" spans="1:1" ht="15.75" customHeight="1">
      <c r="A734" s="34"/>
    </row>
    <row r="735" spans="1:1" ht="15.75" customHeight="1">
      <c r="A735" s="34"/>
    </row>
    <row r="736" spans="1:1" ht="15.75" customHeight="1">
      <c r="A736" s="34"/>
    </row>
    <row r="737" spans="1:1" ht="15.75" customHeight="1">
      <c r="A737" s="34"/>
    </row>
    <row r="738" spans="1:1" ht="15.75" customHeight="1">
      <c r="A738" s="34"/>
    </row>
    <row r="739" spans="1:1" ht="15.75" customHeight="1">
      <c r="A739" s="34"/>
    </row>
    <row r="740" spans="1:1" ht="15.75" customHeight="1">
      <c r="A740" s="34"/>
    </row>
    <row r="741" spans="1:1" ht="15.75" customHeight="1">
      <c r="A741" s="34"/>
    </row>
    <row r="742" spans="1:1" ht="15.75" customHeight="1">
      <c r="A742" s="34"/>
    </row>
    <row r="743" spans="1:1" ht="15.75" customHeight="1">
      <c r="A743" s="34"/>
    </row>
    <row r="744" spans="1:1" ht="15.75" customHeight="1">
      <c r="A744" s="34"/>
    </row>
    <row r="745" spans="1:1" ht="15.75" customHeight="1">
      <c r="A745" s="34"/>
    </row>
    <row r="746" spans="1:1" ht="15.75" customHeight="1">
      <c r="A746" s="34"/>
    </row>
    <row r="747" spans="1:1" ht="15.75" customHeight="1">
      <c r="A747" s="34"/>
    </row>
    <row r="748" spans="1:1" ht="15.75" customHeight="1">
      <c r="A748" s="34"/>
    </row>
    <row r="749" spans="1:1" ht="15.75" customHeight="1">
      <c r="A749" s="34"/>
    </row>
    <row r="750" spans="1:1" ht="15.75" customHeight="1">
      <c r="A750" s="34"/>
    </row>
    <row r="751" spans="1:1" ht="15.75" customHeight="1">
      <c r="A751" s="34"/>
    </row>
    <row r="752" spans="1:1" ht="15.75" customHeight="1">
      <c r="A752" s="34"/>
    </row>
    <row r="753" spans="1:1" ht="15.75" customHeight="1">
      <c r="A753" s="34"/>
    </row>
    <row r="754" spans="1:1" ht="15.75" customHeight="1">
      <c r="A754" s="34"/>
    </row>
    <row r="755" spans="1:1" ht="15.75" customHeight="1">
      <c r="A755" s="34"/>
    </row>
    <row r="756" spans="1:1" ht="15.75" customHeight="1">
      <c r="A756" s="34"/>
    </row>
    <row r="757" spans="1:1" ht="15.75" customHeight="1">
      <c r="A757" s="34"/>
    </row>
    <row r="758" spans="1:1" ht="15.75" customHeight="1">
      <c r="A758" s="34"/>
    </row>
    <row r="759" spans="1:1" ht="15.75" customHeight="1">
      <c r="A759" s="34"/>
    </row>
    <row r="760" spans="1:1" ht="15.75" customHeight="1">
      <c r="A760" s="34"/>
    </row>
    <row r="761" spans="1:1" ht="15.75" customHeight="1">
      <c r="A761" s="34"/>
    </row>
    <row r="762" spans="1:1" ht="15.75" customHeight="1">
      <c r="A762" s="34"/>
    </row>
    <row r="763" spans="1:1" ht="15.75" customHeight="1">
      <c r="A763" s="34"/>
    </row>
    <row r="764" spans="1:1" ht="15.75" customHeight="1">
      <c r="A764" s="34"/>
    </row>
    <row r="765" spans="1:1" ht="15.75" customHeight="1">
      <c r="A765" s="34"/>
    </row>
    <row r="766" spans="1:1" ht="15.75" customHeight="1">
      <c r="A766" s="34"/>
    </row>
    <row r="767" spans="1:1" ht="15.75" customHeight="1">
      <c r="A767" s="34"/>
    </row>
    <row r="768" spans="1:1" ht="15.75" customHeight="1">
      <c r="A768" s="34"/>
    </row>
    <row r="769" spans="1:1" ht="15.75" customHeight="1">
      <c r="A769" s="34"/>
    </row>
    <row r="770" spans="1:1" ht="15.75" customHeight="1">
      <c r="A770" s="34"/>
    </row>
    <row r="771" spans="1:1" ht="15.75" customHeight="1">
      <c r="A771" s="34"/>
    </row>
    <row r="772" spans="1:1" ht="15.75" customHeight="1">
      <c r="A772" s="34"/>
    </row>
    <row r="773" spans="1:1" ht="15.75" customHeight="1">
      <c r="A773" s="34"/>
    </row>
    <row r="774" spans="1:1" ht="15.75" customHeight="1">
      <c r="A774" s="34"/>
    </row>
    <row r="775" spans="1:1" ht="15.75" customHeight="1">
      <c r="A775" s="34"/>
    </row>
    <row r="776" spans="1:1" ht="15.75" customHeight="1">
      <c r="A776" s="34"/>
    </row>
    <row r="777" spans="1:1" ht="15.75" customHeight="1">
      <c r="A777" s="34"/>
    </row>
    <row r="778" spans="1:1" ht="15.75" customHeight="1">
      <c r="A778" s="34"/>
    </row>
    <row r="779" spans="1:1" ht="15.75" customHeight="1">
      <c r="A779" s="34"/>
    </row>
    <row r="780" spans="1:1" ht="15.75" customHeight="1">
      <c r="A780" s="34"/>
    </row>
    <row r="781" spans="1:1" ht="15.75" customHeight="1">
      <c r="A781" s="34"/>
    </row>
    <row r="782" spans="1:1" ht="15.75" customHeight="1">
      <c r="A782" s="34"/>
    </row>
    <row r="783" spans="1:1" ht="15.75" customHeight="1">
      <c r="A783" s="34"/>
    </row>
    <row r="784" spans="1:1" ht="15.75" customHeight="1">
      <c r="A784" s="34"/>
    </row>
    <row r="785" spans="1:1" ht="15.75" customHeight="1">
      <c r="A785" s="34"/>
    </row>
    <row r="786" spans="1:1" ht="15.75" customHeight="1">
      <c r="A786" s="34"/>
    </row>
    <row r="787" spans="1:1" ht="15.75" customHeight="1">
      <c r="A787" s="34"/>
    </row>
    <row r="788" spans="1:1" ht="15.75" customHeight="1">
      <c r="A788" s="34"/>
    </row>
    <row r="789" spans="1:1" ht="15.75" customHeight="1">
      <c r="A789" s="34"/>
    </row>
    <row r="790" spans="1:1" ht="15.75" customHeight="1">
      <c r="A790" s="34"/>
    </row>
    <row r="791" spans="1:1" ht="15.75" customHeight="1">
      <c r="A791" s="34"/>
    </row>
    <row r="792" spans="1:1" ht="15.75" customHeight="1">
      <c r="A792" s="34"/>
    </row>
    <row r="793" spans="1:1" ht="15.75" customHeight="1">
      <c r="A793" s="34"/>
    </row>
    <row r="794" spans="1:1" ht="15.75" customHeight="1">
      <c r="A794" s="34"/>
    </row>
    <row r="795" spans="1:1" ht="15.75" customHeight="1">
      <c r="A795" s="34"/>
    </row>
    <row r="796" spans="1:1" ht="15.75" customHeight="1">
      <c r="A796" s="34"/>
    </row>
    <row r="797" spans="1:1" ht="15.75" customHeight="1">
      <c r="A797" s="34"/>
    </row>
    <row r="798" spans="1:1" ht="15.75" customHeight="1">
      <c r="A798" s="34"/>
    </row>
    <row r="799" spans="1:1" ht="15.75" customHeight="1">
      <c r="A799" s="34"/>
    </row>
    <row r="800" spans="1:1" ht="15.75" customHeight="1">
      <c r="A800" s="34"/>
    </row>
    <row r="801" spans="1:1" ht="15.75" customHeight="1">
      <c r="A801" s="34"/>
    </row>
    <row r="802" spans="1:1" ht="15.75" customHeight="1">
      <c r="A802" s="34"/>
    </row>
    <row r="803" spans="1:1" ht="15.75" customHeight="1">
      <c r="A803" s="34"/>
    </row>
    <row r="804" spans="1:1" ht="15.75" customHeight="1">
      <c r="A804" s="34"/>
    </row>
    <row r="805" spans="1:1" ht="15.75" customHeight="1">
      <c r="A805" s="34"/>
    </row>
    <row r="806" spans="1:1" ht="15.75" customHeight="1">
      <c r="A806" s="34"/>
    </row>
    <row r="807" spans="1:1" ht="15.75" customHeight="1">
      <c r="A807" s="34"/>
    </row>
    <row r="808" spans="1:1" ht="15.75" customHeight="1">
      <c r="A808" s="34"/>
    </row>
    <row r="809" spans="1:1" ht="15.75" customHeight="1">
      <c r="A809" s="34"/>
    </row>
    <row r="810" spans="1:1" ht="15.75" customHeight="1">
      <c r="A810" s="34"/>
    </row>
    <row r="811" spans="1:1" ht="15.75" customHeight="1">
      <c r="A811" s="34"/>
    </row>
    <row r="812" spans="1:1" ht="15.75" customHeight="1">
      <c r="A812" s="34"/>
    </row>
    <row r="813" spans="1:1" ht="15.75" customHeight="1">
      <c r="A813" s="34"/>
    </row>
    <row r="814" spans="1:1" ht="15.75" customHeight="1">
      <c r="A814" s="34"/>
    </row>
    <row r="815" spans="1:1" ht="15.75" customHeight="1">
      <c r="A815" s="34"/>
    </row>
    <row r="816" spans="1:1" ht="15.75" customHeight="1">
      <c r="A816" s="34"/>
    </row>
    <row r="817" spans="1:1" ht="15.75" customHeight="1">
      <c r="A817" s="34"/>
    </row>
    <row r="818" spans="1:1" ht="15.75" customHeight="1">
      <c r="A818" s="34"/>
    </row>
    <row r="819" spans="1:1" ht="15.75" customHeight="1">
      <c r="A819" s="34"/>
    </row>
    <row r="820" spans="1:1" ht="15.75" customHeight="1">
      <c r="A820" s="34"/>
    </row>
    <row r="821" spans="1:1" ht="15.75" customHeight="1">
      <c r="A821" s="34"/>
    </row>
    <row r="822" spans="1:1" ht="15.75" customHeight="1">
      <c r="A822" s="34"/>
    </row>
    <row r="823" spans="1:1" ht="15.75" customHeight="1">
      <c r="A823" s="34"/>
    </row>
    <row r="824" spans="1:1" ht="15.75" customHeight="1">
      <c r="A824" s="34"/>
    </row>
    <row r="825" spans="1:1" ht="15.75" customHeight="1">
      <c r="A825" s="34"/>
    </row>
    <row r="826" spans="1:1" ht="15.75" customHeight="1">
      <c r="A826" s="34"/>
    </row>
    <row r="827" spans="1:1" ht="15.75" customHeight="1">
      <c r="A827" s="34"/>
    </row>
    <row r="828" spans="1:1" ht="15.75" customHeight="1">
      <c r="A828" s="34"/>
    </row>
    <row r="829" spans="1:1" ht="15.75" customHeight="1">
      <c r="A829" s="34"/>
    </row>
    <row r="830" spans="1:1" ht="15.75" customHeight="1">
      <c r="A830" s="34"/>
    </row>
    <row r="831" spans="1:1" ht="15.75" customHeight="1">
      <c r="A831" s="34"/>
    </row>
    <row r="832" spans="1:1" ht="15.75" customHeight="1">
      <c r="A832" s="34"/>
    </row>
    <row r="833" spans="1:1" ht="15.75" customHeight="1">
      <c r="A833" s="34"/>
    </row>
    <row r="834" spans="1:1" ht="15.75" customHeight="1">
      <c r="A834" s="34"/>
    </row>
    <row r="835" spans="1:1" ht="15.75" customHeight="1">
      <c r="A835" s="34"/>
    </row>
    <row r="836" spans="1:1" ht="15.75" customHeight="1">
      <c r="A836" s="34"/>
    </row>
    <row r="837" spans="1:1" ht="15.75" customHeight="1">
      <c r="A837" s="34"/>
    </row>
    <row r="838" spans="1:1" ht="15.75" customHeight="1">
      <c r="A838" s="34"/>
    </row>
    <row r="839" spans="1:1" ht="15.75" customHeight="1">
      <c r="A839" s="34"/>
    </row>
    <row r="840" spans="1:1" ht="15.75" customHeight="1">
      <c r="A840" s="34"/>
    </row>
    <row r="841" spans="1:1" ht="15.75" customHeight="1">
      <c r="A841" s="34"/>
    </row>
    <row r="842" spans="1:1" ht="15.75" customHeight="1">
      <c r="A842" s="34"/>
    </row>
    <row r="843" spans="1:1" ht="15.75" customHeight="1">
      <c r="A843" s="34"/>
    </row>
    <row r="844" spans="1:1" ht="15.75" customHeight="1">
      <c r="A844" s="34"/>
    </row>
    <row r="845" spans="1:1" ht="15.75" customHeight="1">
      <c r="A845" s="34"/>
    </row>
    <row r="846" spans="1:1" ht="15.75" customHeight="1">
      <c r="A846" s="34"/>
    </row>
    <row r="847" spans="1:1" ht="15.75" customHeight="1">
      <c r="A847" s="34"/>
    </row>
    <row r="848" spans="1:1" ht="15.75" customHeight="1">
      <c r="A848" s="34"/>
    </row>
    <row r="849" spans="1:1" ht="15.75" customHeight="1">
      <c r="A849" s="34"/>
    </row>
    <row r="850" spans="1:1" ht="15.75" customHeight="1">
      <c r="A850" s="34"/>
    </row>
    <row r="851" spans="1:1" ht="15.75" customHeight="1">
      <c r="A851" s="34"/>
    </row>
    <row r="852" spans="1:1" ht="15.75" customHeight="1">
      <c r="A852" s="34"/>
    </row>
    <row r="853" spans="1:1" ht="15.75" customHeight="1">
      <c r="A853" s="34"/>
    </row>
    <row r="854" spans="1:1" ht="15.75" customHeight="1">
      <c r="A854" s="34"/>
    </row>
    <row r="855" spans="1:1" ht="15.75" customHeight="1">
      <c r="A855" s="34"/>
    </row>
    <row r="856" spans="1:1" ht="15.75" customHeight="1">
      <c r="A856" s="34"/>
    </row>
    <row r="857" spans="1:1" ht="15.75" customHeight="1">
      <c r="A857" s="34"/>
    </row>
    <row r="858" spans="1:1" ht="15.75" customHeight="1">
      <c r="A858" s="34"/>
    </row>
    <row r="859" spans="1:1" ht="15.75" customHeight="1">
      <c r="A859" s="34"/>
    </row>
    <row r="860" spans="1:1" ht="15.75" customHeight="1">
      <c r="A860" s="34"/>
    </row>
    <row r="861" spans="1:1" ht="15.75" customHeight="1">
      <c r="A861" s="34"/>
    </row>
    <row r="862" spans="1:1" ht="15.75" customHeight="1">
      <c r="A862" s="34"/>
    </row>
    <row r="863" spans="1:1" ht="15.75" customHeight="1">
      <c r="A863" s="34"/>
    </row>
    <row r="864" spans="1:1" ht="15.75" customHeight="1">
      <c r="A864" s="34"/>
    </row>
    <row r="865" spans="1:1" ht="15.75" customHeight="1">
      <c r="A865" s="34"/>
    </row>
    <row r="866" spans="1:1" ht="15.75" customHeight="1">
      <c r="A866" s="34"/>
    </row>
    <row r="867" spans="1:1" ht="15.75" customHeight="1">
      <c r="A867" s="34"/>
    </row>
    <row r="868" spans="1:1" ht="15.75" customHeight="1">
      <c r="A868" s="34"/>
    </row>
    <row r="869" spans="1:1" ht="15.75" customHeight="1">
      <c r="A869" s="34"/>
    </row>
    <row r="870" spans="1:1" ht="15.75" customHeight="1">
      <c r="A870" s="34"/>
    </row>
    <row r="871" spans="1:1" ht="15.75" customHeight="1">
      <c r="A871" s="34"/>
    </row>
    <row r="872" spans="1:1" ht="15.75" customHeight="1">
      <c r="A872" s="34"/>
    </row>
    <row r="873" spans="1:1" ht="15.75" customHeight="1">
      <c r="A873" s="34"/>
    </row>
    <row r="874" spans="1:1" ht="15.75" customHeight="1">
      <c r="A874" s="34"/>
    </row>
    <row r="875" spans="1:1" ht="15.75" customHeight="1">
      <c r="A875" s="34"/>
    </row>
    <row r="876" spans="1:1" ht="15.75" customHeight="1">
      <c r="A876" s="34"/>
    </row>
    <row r="877" spans="1:1" ht="15.75" customHeight="1">
      <c r="A877" s="34"/>
    </row>
    <row r="878" spans="1:1" ht="15.75" customHeight="1">
      <c r="A878" s="34"/>
    </row>
    <row r="879" spans="1:1" ht="15.75" customHeight="1">
      <c r="A879" s="34"/>
    </row>
    <row r="880" spans="1:1" ht="15.75" customHeight="1">
      <c r="A880" s="34"/>
    </row>
    <row r="881" spans="1:1" ht="15.75" customHeight="1">
      <c r="A881" s="34"/>
    </row>
    <row r="882" spans="1:1" ht="15.75" customHeight="1">
      <c r="A882" s="34"/>
    </row>
    <row r="883" spans="1:1" ht="15.75" customHeight="1">
      <c r="A883" s="34"/>
    </row>
    <row r="884" spans="1:1" ht="15.75" customHeight="1">
      <c r="A884" s="34"/>
    </row>
    <row r="885" spans="1:1" ht="15.75" customHeight="1">
      <c r="A885" s="34"/>
    </row>
    <row r="886" spans="1:1" ht="15.75" customHeight="1">
      <c r="A886" s="34"/>
    </row>
    <row r="887" spans="1:1" ht="15.75" customHeight="1">
      <c r="A887" s="34"/>
    </row>
    <row r="888" spans="1:1" ht="15.75" customHeight="1">
      <c r="A888" s="34"/>
    </row>
    <row r="889" spans="1:1" ht="15.75" customHeight="1">
      <c r="A889" s="34"/>
    </row>
    <row r="890" spans="1:1" ht="15.75" customHeight="1">
      <c r="A890" s="34"/>
    </row>
    <row r="891" spans="1:1" ht="15.75" customHeight="1">
      <c r="A891" s="34"/>
    </row>
    <row r="892" spans="1:1" ht="15.75" customHeight="1">
      <c r="A892" s="34"/>
    </row>
    <row r="893" spans="1:1" ht="15.75" customHeight="1">
      <c r="A893" s="34"/>
    </row>
    <row r="894" spans="1:1" ht="15.75" customHeight="1">
      <c r="A894" s="34"/>
    </row>
    <row r="895" spans="1:1" ht="15.75" customHeight="1">
      <c r="A895" s="34"/>
    </row>
    <row r="896" spans="1:1" ht="15.75" customHeight="1">
      <c r="A896" s="34"/>
    </row>
    <row r="897" spans="1:1" ht="15.75" customHeight="1">
      <c r="A897" s="34"/>
    </row>
    <row r="898" spans="1:1" ht="15.75" customHeight="1">
      <c r="A898" s="34"/>
    </row>
    <row r="899" spans="1:1" ht="15.75" customHeight="1">
      <c r="A899" s="34"/>
    </row>
    <row r="900" spans="1:1" ht="15.75" customHeight="1">
      <c r="A900" s="34"/>
    </row>
    <row r="901" spans="1:1" ht="15.75" customHeight="1">
      <c r="A901" s="34"/>
    </row>
    <row r="902" spans="1:1" ht="15.75" customHeight="1">
      <c r="A902" s="34"/>
    </row>
    <row r="903" spans="1:1" ht="15.75" customHeight="1">
      <c r="A903" s="34"/>
    </row>
    <row r="904" spans="1:1" ht="15.75" customHeight="1">
      <c r="A904" s="34"/>
    </row>
    <row r="905" spans="1:1" ht="15.75" customHeight="1">
      <c r="A905" s="34"/>
    </row>
    <row r="906" spans="1:1" ht="15.75" customHeight="1">
      <c r="A906" s="34"/>
    </row>
    <row r="907" spans="1:1" ht="15.75" customHeight="1">
      <c r="A907" s="34"/>
    </row>
    <row r="908" spans="1:1" ht="15.75" customHeight="1">
      <c r="A908" s="34"/>
    </row>
    <row r="909" spans="1:1" ht="15.75" customHeight="1">
      <c r="A909" s="34"/>
    </row>
    <row r="910" spans="1:1" ht="15.75" customHeight="1">
      <c r="A910" s="34"/>
    </row>
    <row r="911" spans="1:1" ht="15.75" customHeight="1">
      <c r="A911" s="34"/>
    </row>
    <row r="912" spans="1:1" ht="15.75" customHeight="1">
      <c r="A912" s="34"/>
    </row>
    <row r="913" spans="1:1" ht="15.75" customHeight="1">
      <c r="A913" s="34"/>
    </row>
    <row r="914" spans="1:1" ht="15.75" customHeight="1">
      <c r="A914" s="34"/>
    </row>
    <row r="915" spans="1:1" ht="15.75" customHeight="1">
      <c r="A915" s="34"/>
    </row>
    <row r="916" spans="1:1" ht="15.75" customHeight="1">
      <c r="A916" s="34"/>
    </row>
    <row r="917" spans="1:1" ht="15.75" customHeight="1">
      <c r="A917" s="34"/>
    </row>
    <row r="918" spans="1:1" ht="15.75" customHeight="1">
      <c r="A918" s="34"/>
    </row>
    <row r="919" spans="1:1" ht="15.75" customHeight="1">
      <c r="A919" s="34"/>
    </row>
    <row r="920" spans="1:1" ht="15.75" customHeight="1">
      <c r="A920" s="34"/>
    </row>
    <row r="921" spans="1:1" ht="15.75" customHeight="1">
      <c r="A921" s="34"/>
    </row>
    <row r="922" spans="1:1" ht="15.75" customHeight="1">
      <c r="A922" s="34"/>
    </row>
    <row r="923" spans="1:1" ht="15.75" customHeight="1">
      <c r="A923" s="34"/>
    </row>
    <row r="924" spans="1:1" ht="15.75" customHeight="1">
      <c r="A924" s="34"/>
    </row>
    <row r="925" spans="1:1" ht="15.75" customHeight="1">
      <c r="A925" s="34"/>
    </row>
    <row r="926" spans="1:1" ht="15.75" customHeight="1">
      <c r="A926" s="34"/>
    </row>
    <row r="927" spans="1:1" ht="15.75" customHeight="1">
      <c r="A927" s="34"/>
    </row>
    <row r="928" spans="1:1" ht="15.75" customHeight="1">
      <c r="A928" s="34"/>
    </row>
    <row r="929" spans="1:1" ht="15.75" customHeight="1">
      <c r="A929" s="34"/>
    </row>
    <row r="930" spans="1:1" ht="15.75" customHeight="1">
      <c r="A930" s="34"/>
    </row>
    <row r="931" spans="1:1" ht="15.75" customHeight="1">
      <c r="A931" s="34"/>
    </row>
    <row r="932" spans="1:1" ht="15.75" customHeight="1">
      <c r="A932" s="34"/>
    </row>
    <row r="933" spans="1:1" ht="15.75" customHeight="1">
      <c r="A933" s="34"/>
    </row>
    <row r="934" spans="1:1" ht="15.75" customHeight="1">
      <c r="A934" s="34"/>
    </row>
    <row r="935" spans="1:1" ht="15.75" customHeight="1">
      <c r="A935" s="34"/>
    </row>
    <row r="936" spans="1:1" ht="15.75" customHeight="1">
      <c r="A936" s="34"/>
    </row>
    <row r="937" spans="1:1" ht="15.75" customHeight="1">
      <c r="A937" s="34"/>
    </row>
    <row r="938" spans="1:1" ht="15.75" customHeight="1">
      <c r="A938" s="34"/>
    </row>
    <row r="939" spans="1:1" ht="15.75" customHeight="1">
      <c r="A939" s="34"/>
    </row>
    <row r="940" spans="1:1" ht="15.75" customHeight="1">
      <c r="A940" s="34"/>
    </row>
    <row r="941" spans="1:1" ht="15.75" customHeight="1">
      <c r="A941" s="34"/>
    </row>
    <row r="942" spans="1:1" ht="15.75" customHeight="1">
      <c r="A942" s="34"/>
    </row>
    <row r="943" spans="1:1" ht="15.75" customHeight="1">
      <c r="A943" s="34"/>
    </row>
    <row r="944" spans="1:1" ht="15.75" customHeight="1">
      <c r="A944" s="34"/>
    </row>
    <row r="945" spans="1:1" ht="15.75" customHeight="1">
      <c r="A945" s="34"/>
    </row>
    <row r="946" spans="1:1" ht="15.75" customHeight="1">
      <c r="A946" s="34"/>
    </row>
    <row r="947" spans="1:1" ht="15.75" customHeight="1">
      <c r="A947" s="34"/>
    </row>
    <row r="948" spans="1:1" ht="15.75" customHeight="1">
      <c r="A948" s="34"/>
    </row>
    <row r="949" spans="1:1" ht="15.75" customHeight="1">
      <c r="A949" s="34"/>
    </row>
    <row r="950" spans="1:1" ht="15.75" customHeight="1">
      <c r="A950" s="34"/>
    </row>
    <row r="951" spans="1:1" ht="15.75" customHeight="1">
      <c r="A951" s="34"/>
    </row>
    <row r="952" spans="1:1" ht="15.75" customHeight="1">
      <c r="A952" s="34"/>
    </row>
    <row r="953" spans="1:1" ht="15.75" customHeight="1">
      <c r="A953" s="34"/>
    </row>
    <row r="954" spans="1:1" ht="15.75" customHeight="1">
      <c r="A954" s="34"/>
    </row>
    <row r="955" spans="1:1" ht="15.75" customHeight="1">
      <c r="A955" s="34"/>
    </row>
    <row r="956" spans="1:1" ht="15.75" customHeight="1">
      <c r="A956" s="34"/>
    </row>
    <row r="957" spans="1:1" ht="15.75" customHeight="1">
      <c r="A957" s="34"/>
    </row>
    <row r="958" spans="1:1" ht="15.75" customHeight="1">
      <c r="A958" s="34"/>
    </row>
    <row r="959" spans="1:1" ht="15.75" customHeight="1">
      <c r="A959" s="34"/>
    </row>
    <row r="960" spans="1:1" ht="15.75" customHeight="1">
      <c r="A960" s="34"/>
    </row>
    <row r="961" spans="1:1" ht="15.75" customHeight="1">
      <c r="A961" s="34"/>
    </row>
    <row r="962" spans="1:1" ht="15.75" customHeight="1">
      <c r="A962" s="34"/>
    </row>
    <row r="963" spans="1:1" ht="15.75" customHeight="1">
      <c r="A963" s="34"/>
    </row>
    <row r="964" spans="1:1" ht="15.75" customHeight="1">
      <c r="A964" s="34"/>
    </row>
    <row r="965" spans="1:1" ht="15.75" customHeight="1">
      <c r="A965" s="34"/>
    </row>
    <row r="966" spans="1:1" ht="15.75" customHeight="1">
      <c r="A966" s="34"/>
    </row>
    <row r="967" spans="1:1" ht="15.75" customHeight="1">
      <c r="A967" s="34"/>
    </row>
    <row r="968" spans="1:1" ht="15.75" customHeight="1">
      <c r="A968" s="34"/>
    </row>
    <row r="969" spans="1:1" ht="15.75" customHeight="1">
      <c r="A969" s="34"/>
    </row>
    <row r="970" spans="1:1" ht="15.75" customHeight="1">
      <c r="A970" s="34"/>
    </row>
    <row r="971" spans="1:1" ht="15.75" customHeight="1">
      <c r="A971" s="34"/>
    </row>
    <row r="972" spans="1:1" ht="15.75" customHeight="1">
      <c r="A972" s="34"/>
    </row>
    <row r="973" spans="1:1" ht="15.75" customHeight="1">
      <c r="A973" s="34"/>
    </row>
    <row r="974" spans="1:1" ht="15.75" customHeight="1">
      <c r="A974" s="34"/>
    </row>
    <row r="975" spans="1:1" ht="15.75" customHeight="1">
      <c r="A975" s="34"/>
    </row>
    <row r="976" spans="1:1" ht="15.75" customHeight="1">
      <c r="A976" s="34"/>
    </row>
    <row r="977" spans="1:1" ht="15.75" customHeight="1">
      <c r="A977" s="34"/>
    </row>
    <row r="978" spans="1:1" ht="15.75" customHeight="1">
      <c r="A978" s="34"/>
    </row>
    <row r="979" spans="1:1" ht="15.75" customHeight="1">
      <c r="A979" s="34"/>
    </row>
  </sheetData>
  <conditionalFormatting sqref="B2:B10 H2:I10">
    <cfRule type="cellIs" dxfId="13" priority="1" operator="equal">
      <formula>"TRUE"</formula>
    </cfRule>
  </conditionalFormatting>
  <dataValidations count="1">
    <dataValidation type="custom" allowBlank="1" showDropDown="1" showErrorMessage="1" sqref="F2:G10" xr:uid="{00000000-0002-0000-01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10"/>
  <sheetViews>
    <sheetView workbookViewId="0"/>
  </sheetViews>
  <sheetFormatPr defaultColWidth="12.625" defaultRowHeight="15" customHeight="1"/>
  <cols>
    <col min="1" max="1" width="14.625" customWidth="1"/>
    <col min="2" max="2" width="23.625" customWidth="1"/>
    <col min="3" max="3" width="26.5" customWidth="1"/>
    <col min="4" max="4" width="12" customWidth="1"/>
    <col min="5" max="5" width="10" customWidth="1"/>
    <col min="6" max="7" width="16.375" customWidth="1"/>
  </cols>
  <sheetData>
    <row r="1" spans="1:8" ht="15.95">
      <c r="A1" s="35" t="s">
        <v>64</v>
      </c>
      <c r="B1" s="36" t="str">
        <f>HMG!E2</f>
        <v>Úkol (test)</v>
      </c>
      <c r="C1" s="37" t="s">
        <v>65</v>
      </c>
      <c r="D1" s="38">
        <f ca="1">SUM(G3:G10)</f>
        <v>0</v>
      </c>
      <c r="E1" s="37" t="s">
        <v>66</v>
      </c>
      <c r="F1" s="39"/>
      <c r="G1" s="40">
        <f ca="1">TODAY()</f>
        <v>45915</v>
      </c>
      <c r="H1" s="41" t="str">
        <f ca="1">IFERROR(__xludf.UNSUPPORTED(IMPORTRANGE("", ""))," #N/A")</f>
        <v xml:space="preserve"> #N/A</v>
      </c>
    </row>
    <row r="2" spans="1:8" ht="15.95">
      <c r="A2" s="42" t="s">
        <v>40</v>
      </c>
      <c r="B2" s="482" t="s">
        <v>67</v>
      </c>
      <c r="C2" s="482" t="s">
        <v>68</v>
      </c>
      <c r="D2" s="482" t="str">
        <f>HMG!E1</f>
        <v>Úkol</v>
      </c>
      <c r="E2" s="482" t="s">
        <v>44</v>
      </c>
      <c r="F2" s="482" t="s">
        <v>69</v>
      </c>
      <c r="G2" s="482" t="s">
        <v>69</v>
      </c>
      <c r="H2" s="34"/>
    </row>
    <row r="3" spans="1:8" ht="15.95">
      <c r="A3" s="31" t="str">
        <f>HMG!C2</f>
        <v>zapis KS</v>
      </c>
      <c r="B3" s="483">
        <f>HMG!D2</f>
        <v>0.05</v>
      </c>
      <c r="C3" s="484" t="e">
        <f t="shared" ref="C3:C9" ca="1" si="0">IF(B3&gt;0,($H$1*B3),"")</f>
        <v>#VALUE!</v>
      </c>
      <c r="D3" s="485" t="str">
        <f>HMG!E2</f>
        <v>Úkol (test)</v>
      </c>
      <c r="E3" s="485">
        <f>HMG!F2</f>
        <v>0</v>
      </c>
      <c r="F3" s="484" t="str">
        <f t="shared" ref="F3:F10" ca="1" si="1">IFERROR(C3/(E3-$B$1),"")</f>
        <v/>
      </c>
      <c r="G3" s="484" t="b">
        <f ca="1">(IF(D3&lt;$G$1,( IF(E3&lt;$G$1,F3*($G$1-$B$1)))))</f>
        <v>0</v>
      </c>
      <c r="H3" s="43"/>
    </row>
    <row r="4" spans="1:8" ht="15.95">
      <c r="A4" s="31">
        <f>HMG!C3</f>
        <v>0</v>
      </c>
      <c r="B4" s="483">
        <f>HMG!D3</f>
        <v>0</v>
      </c>
      <c r="C4" s="484" t="str">
        <f t="shared" si="0"/>
        <v/>
      </c>
      <c r="D4" s="485">
        <f>HMG!E3</f>
        <v>0</v>
      </c>
      <c r="E4" s="485">
        <f>HMG!F3</f>
        <v>0</v>
      </c>
      <c r="F4" s="484" t="str">
        <f t="shared" si="1"/>
        <v/>
      </c>
      <c r="G4" s="484" t="s">
        <v>70</v>
      </c>
      <c r="H4" s="34"/>
    </row>
    <row r="5" spans="1:8" ht="15.95">
      <c r="A5" s="31" t="str">
        <f>HMG!C4</f>
        <v>Nabýti SP</v>
      </c>
      <c r="B5" s="483">
        <f>HMG!D4</f>
        <v>0.3</v>
      </c>
      <c r="C5" s="484" t="e">
        <f t="shared" ca="1" si="0"/>
        <v>#VALUE!</v>
      </c>
      <c r="D5" s="485">
        <f>HMG!E4</f>
        <v>0</v>
      </c>
      <c r="E5" s="485">
        <f>HMG!F4</f>
        <v>0</v>
      </c>
      <c r="F5" s="484" t="str">
        <f t="shared" ca="1" si="1"/>
        <v/>
      </c>
      <c r="G5" s="484" t="s">
        <v>70</v>
      </c>
      <c r="H5" s="34"/>
    </row>
    <row r="6" spans="1:8" ht="15.95">
      <c r="A6" s="31" t="str">
        <f>HMG!C5</f>
        <v>zapis KS</v>
      </c>
      <c r="B6" s="483">
        <f>HMG!D5</f>
        <v>0.3</v>
      </c>
      <c r="C6" s="484" t="e">
        <f t="shared" ca="1" si="0"/>
        <v>#VALUE!</v>
      </c>
      <c r="D6" s="485">
        <f>HMG!E5</f>
        <v>0</v>
      </c>
      <c r="E6" s="485">
        <f>HMG!F5</f>
        <v>0</v>
      </c>
      <c r="F6" s="484" t="str">
        <f t="shared" ca="1" si="1"/>
        <v/>
      </c>
      <c r="G6" s="484" t="s">
        <v>70</v>
      </c>
      <c r="H6" s="34"/>
    </row>
    <row r="7" spans="1:8" ht="15.95">
      <c r="A7" s="31" t="str">
        <f>HMG!C6</f>
        <v>Najem</v>
      </c>
      <c r="B7" s="483">
        <f>HMG!D6</f>
        <v>0.35</v>
      </c>
      <c r="C7" s="484" t="e">
        <f t="shared" ca="1" si="0"/>
        <v>#VALUE!</v>
      </c>
      <c r="D7" s="485">
        <f>HMG!E6</f>
        <v>0</v>
      </c>
      <c r="E7" s="485">
        <f>HMG!F6</f>
        <v>0</v>
      </c>
      <c r="F7" s="484" t="str">
        <f t="shared" ca="1" si="1"/>
        <v/>
      </c>
      <c r="G7" s="484" t="s">
        <v>70</v>
      </c>
      <c r="H7" s="34"/>
    </row>
    <row r="8" spans="1:8" ht="15.95">
      <c r="A8" s="44">
        <f>HMG!C7</f>
        <v>0</v>
      </c>
      <c r="B8" s="483">
        <f>HMG!D7</f>
        <v>0</v>
      </c>
      <c r="C8" s="484" t="str">
        <f t="shared" si="0"/>
        <v/>
      </c>
      <c r="D8" s="485">
        <f>HMG!E7</f>
        <v>0</v>
      </c>
      <c r="E8" s="485">
        <f>HMG!F7</f>
        <v>0</v>
      </c>
      <c r="F8" s="484" t="str">
        <f t="shared" si="1"/>
        <v/>
      </c>
      <c r="G8" s="484" t="s">
        <v>70</v>
      </c>
      <c r="H8" s="34"/>
    </row>
    <row r="9" spans="1:8" ht="15.95">
      <c r="A9" s="44">
        <f>HMG!C8</f>
        <v>0</v>
      </c>
      <c r="B9" s="483">
        <f>HMG!D8</f>
        <v>0</v>
      </c>
      <c r="C9" s="484" t="str">
        <f t="shared" si="0"/>
        <v/>
      </c>
      <c r="D9" s="485">
        <f>HMG!E8</f>
        <v>0</v>
      </c>
      <c r="E9" s="485">
        <f>HMG!F8</f>
        <v>0</v>
      </c>
      <c r="F9" s="484" t="str">
        <f t="shared" si="1"/>
        <v/>
      </c>
      <c r="G9" s="484" t="s">
        <v>70</v>
      </c>
      <c r="H9" s="34"/>
    </row>
    <row r="10" spans="1:8" ht="15" customHeight="1">
      <c r="A10" s="25">
        <f>HMG!C9</f>
        <v>0</v>
      </c>
      <c r="B10" s="26">
        <f>HMG!D9</f>
        <v>0</v>
      </c>
      <c r="C10" s="45" t="str">
        <f>IF(B10&gt;0,(Businessplan_prodej!$M$37*B10),"")</f>
        <v/>
      </c>
      <c r="D10" s="46">
        <f>HMG!F9</f>
        <v>0</v>
      </c>
      <c r="E10" s="28">
        <f>HMG!G9</f>
        <v>0</v>
      </c>
      <c r="F10" s="47" t="str">
        <f t="shared" si="1"/>
        <v/>
      </c>
      <c r="G10" s="47" t="s">
        <v>70</v>
      </c>
    </row>
  </sheetData>
  <autoFilter ref="A2:G10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showGridLines="0" workbookViewId="0"/>
  </sheetViews>
  <sheetFormatPr defaultColWidth="11" defaultRowHeight="14.1"/>
  <sheetData/>
  <sheetProtection sheet="1" objects="1" selectLockedCells="1" selectUnlockedCell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989"/>
  <sheetViews>
    <sheetView topLeftCell="A53" zoomScale="125" workbookViewId="0">
      <selection activeCell="I60" sqref="I60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.5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28" ht="30" customHeight="1">
      <c r="A1" s="48"/>
      <c r="B1" s="562" t="s">
        <v>71</v>
      </c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pans="1:28" ht="18" customHeight="1">
      <c r="A2" s="50"/>
      <c r="B2" s="51"/>
      <c r="C2" s="52"/>
      <c r="D2" s="53"/>
      <c r="E2" s="54"/>
      <c r="F2" s="55"/>
      <c r="G2" s="55"/>
      <c r="H2" s="56"/>
      <c r="I2" s="56"/>
      <c r="J2" s="52"/>
      <c r="K2" s="52"/>
      <c r="L2" s="53"/>
      <c r="M2" s="54"/>
      <c r="N2" s="57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</row>
    <row r="3" spans="1:28" ht="18" customHeight="1">
      <c r="A3" s="50"/>
      <c r="B3" s="49"/>
      <c r="C3" s="58"/>
      <c r="D3" s="59"/>
      <c r="G3" s="60"/>
      <c r="H3" s="49"/>
      <c r="I3" s="49"/>
      <c r="J3" s="58"/>
      <c r="K3" s="58"/>
      <c r="L3" s="59"/>
      <c r="M3" s="61"/>
      <c r="N3" s="60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spans="1:28" ht="30" customHeight="1">
      <c r="A4" s="50"/>
      <c r="B4" s="563" t="s">
        <v>72</v>
      </c>
      <c r="C4" s="595"/>
      <c r="D4" s="595"/>
      <c r="E4" s="595"/>
      <c r="F4" s="596"/>
      <c r="G4" s="62"/>
      <c r="H4" s="49"/>
      <c r="I4" s="564" t="s">
        <v>73</v>
      </c>
      <c r="J4" s="595"/>
      <c r="K4" s="595"/>
      <c r="L4" s="595"/>
      <c r="M4" s="595"/>
      <c r="N4" s="596"/>
      <c r="O4" s="49"/>
      <c r="P4" s="49"/>
      <c r="Q4" s="564" t="s">
        <v>74</v>
      </c>
      <c r="R4" s="596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28" ht="18" customHeight="1">
      <c r="A5" s="50"/>
      <c r="B5" s="49"/>
      <c r="C5" s="58"/>
      <c r="D5" s="59"/>
      <c r="E5" s="58"/>
      <c r="F5" s="58"/>
      <c r="G5" s="63"/>
      <c r="H5" s="49"/>
      <c r="I5" s="49"/>
      <c r="J5" s="58"/>
      <c r="K5" s="58"/>
      <c r="L5" s="59"/>
      <c r="M5" s="61"/>
      <c r="N5" s="60"/>
      <c r="O5" s="49"/>
      <c r="P5" s="49"/>
      <c r="S5" s="49"/>
      <c r="T5" s="49"/>
      <c r="U5" s="49"/>
      <c r="V5" s="49"/>
      <c r="W5" s="49"/>
      <c r="X5" s="49"/>
      <c r="Y5" s="49"/>
      <c r="Z5" s="49"/>
      <c r="AA5" s="49"/>
      <c r="AB5" s="49"/>
    </row>
    <row r="6" spans="1:28" ht="18" customHeight="1">
      <c r="A6" s="50" t="s">
        <v>75</v>
      </c>
      <c r="B6" s="565" t="s">
        <v>76</v>
      </c>
      <c r="C6" s="595"/>
      <c r="D6" s="595"/>
      <c r="E6" s="595"/>
      <c r="F6" s="596"/>
      <c r="G6" s="64"/>
      <c r="H6" s="49"/>
      <c r="I6" s="566" t="s">
        <v>73</v>
      </c>
      <c r="J6" s="595"/>
      <c r="K6" s="595"/>
      <c r="L6" s="595"/>
      <c r="M6" s="595"/>
      <c r="N6" s="596"/>
      <c r="O6" s="49"/>
      <c r="P6" s="49"/>
      <c r="Q6" s="566" t="s">
        <v>77</v>
      </c>
      <c r="R6" s="596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8" customHeight="1">
      <c r="A7" s="50"/>
      <c r="B7" s="65"/>
      <c r="C7" s="66" t="s">
        <v>78</v>
      </c>
      <c r="D7" s="66" t="s">
        <v>79</v>
      </c>
      <c r="E7" s="67" t="s">
        <v>80</v>
      </c>
      <c r="F7" s="68"/>
      <c r="G7" s="63"/>
      <c r="H7" s="49"/>
      <c r="I7" s="69"/>
      <c r="J7" s="67" t="s">
        <v>81</v>
      </c>
      <c r="K7" s="67" t="s">
        <v>82</v>
      </c>
      <c r="L7" s="67" t="s">
        <v>83</v>
      </c>
      <c r="M7" s="67" t="s">
        <v>84</v>
      </c>
      <c r="N7" s="70" t="s">
        <v>85</v>
      </c>
      <c r="O7" s="49"/>
      <c r="P7" s="49"/>
      <c r="Q7" s="71" t="s">
        <v>86</v>
      </c>
      <c r="R7" s="72">
        <v>0</v>
      </c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8" customHeight="1">
      <c r="A8" s="50"/>
      <c r="B8" s="486" t="str">
        <f>'Cash-flow'!C19</f>
        <v>Nákup nemovitosti/pozemků</v>
      </c>
      <c r="C8" s="73" t="s">
        <v>87</v>
      </c>
      <c r="D8" s="73">
        <v>0</v>
      </c>
      <c r="E8" s="74"/>
      <c r="F8" s="75">
        <f>Shares!D7-F13</f>
        <v>36207457</v>
      </c>
      <c r="G8" s="76"/>
      <c r="H8" s="49"/>
      <c r="I8" s="77" t="str">
        <f>Rentroll!A2</f>
        <v>Billa</v>
      </c>
      <c r="J8" s="78">
        <f>Rentroll!C2</f>
        <v>1300</v>
      </c>
      <c r="K8" s="78" t="str">
        <f>Rentroll!B2</f>
        <v>shell and core</v>
      </c>
      <c r="L8" s="79">
        <f>Rentroll!F2</f>
        <v>262.25</v>
      </c>
      <c r="M8" s="79">
        <f>Rentroll!I2</f>
        <v>50</v>
      </c>
      <c r="N8" s="80">
        <f>Rentroll!G2+Rentroll!J2</f>
        <v>405925</v>
      </c>
      <c r="O8" s="49"/>
      <c r="P8" s="49"/>
      <c r="Q8" s="81" t="s">
        <v>88</v>
      </c>
      <c r="R8" s="82">
        <v>0</v>
      </c>
      <c r="S8" s="49"/>
      <c r="T8" s="49"/>
      <c r="U8" s="49"/>
      <c r="V8" s="49"/>
      <c r="W8" s="49"/>
      <c r="X8" s="49"/>
      <c r="Y8" s="49"/>
      <c r="Z8" s="49"/>
      <c r="AA8" s="49"/>
      <c r="AB8" s="49"/>
    </row>
    <row r="9" spans="1:28" ht="18" customHeight="1">
      <c r="A9" s="50"/>
      <c r="B9" s="486" t="str">
        <f>'Cash-flow'!$C$20</f>
        <v>ZPF</v>
      </c>
      <c r="C9" s="73" t="s">
        <v>87</v>
      </c>
      <c r="D9" s="73">
        <f>D8</f>
        <v>0</v>
      </c>
      <c r="E9" s="83">
        <v>0</v>
      </c>
      <c r="F9" s="84">
        <v>1034399</v>
      </c>
      <c r="G9" s="85"/>
      <c r="H9" s="49"/>
      <c r="I9" s="77" t="str">
        <f>Rentroll!A3</f>
        <v>Benu</v>
      </c>
      <c r="J9" s="78">
        <f>Rentroll!C3</f>
        <v>132</v>
      </c>
      <c r="K9" s="78" t="str">
        <f>Rentroll!B3</f>
        <v>shell and core</v>
      </c>
      <c r="L9" s="79">
        <f>Rentroll!F3</f>
        <v>450</v>
      </c>
      <c r="M9" s="79">
        <f>Rentroll!I3</f>
        <v>38</v>
      </c>
      <c r="N9" s="80">
        <f>Rentroll!G3+Rentroll!J3</f>
        <v>64416</v>
      </c>
      <c r="O9" s="49"/>
      <c r="P9" s="49"/>
      <c r="Q9" s="77" t="s">
        <v>89</v>
      </c>
      <c r="R9" s="86">
        <v>0</v>
      </c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spans="1:28" ht="18" customHeight="1">
      <c r="A10" s="50"/>
      <c r="B10" s="486" t="str">
        <f>'Cash-flow'!$C$21</f>
        <v>Předakviziční analýza</v>
      </c>
      <c r="C10" s="73" t="s">
        <v>87</v>
      </c>
      <c r="D10" s="73"/>
      <c r="E10" s="83"/>
      <c r="F10" s="84">
        <f>250000</f>
        <v>250000</v>
      </c>
      <c r="G10" s="85"/>
      <c r="H10" s="49"/>
      <c r="I10" s="77" t="str">
        <f>Rentroll!A4</f>
        <v>Style</v>
      </c>
      <c r="J10" s="78">
        <f>Rentroll!C4</f>
        <v>703</v>
      </c>
      <c r="K10" s="78" t="str">
        <f>Rentroll!B4</f>
        <v>full fit-out</v>
      </c>
      <c r="L10" s="79">
        <f>Rentroll!F4</f>
        <v>250</v>
      </c>
      <c r="M10" s="79">
        <f>Rentroll!I4</f>
        <v>40</v>
      </c>
      <c r="N10" s="80">
        <f>Rentroll!G4+Rentroll!J4</f>
        <v>203870</v>
      </c>
      <c r="O10" s="49"/>
      <c r="P10" s="49"/>
      <c r="Q10" s="87" t="s">
        <v>90</v>
      </c>
      <c r="R10" s="88">
        <v>0</v>
      </c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spans="1:28" ht="18" customHeight="1">
      <c r="A11" s="50"/>
      <c r="B11" s="486" t="str">
        <f>'Cash-flow'!$C$22</f>
        <v>Provize za nákup (INT)</v>
      </c>
      <c r="C11" s="73" t="s">
        <v>91</v>
      </c>
      <c r="D11" s="89"/>
      <c r="E11" s="83"/>
      <c r="F11" s="84">
        <v>1500000</v>
      </c>
      <c r="G11" s="85"/>
      <c r="H11" s="49"/>
      <c r="I11" s="77" t="str">
        <f>Rentroll!A5</f>
        <v>Teta</v>
      </c>
      <c r="J11" s="78">
        <f>Rentroll!C5</f>
        <v>250</v>
      </c>
      <c r="K11" s="78" t="str">
        <f>Rentroll!B5</f>
        <v>full fit-out</v>
      </c>
      <c r="L11" s="79">
        <f>Rentroll!F5</f>
        <v>332.5</v>
      </c>
      <c r="M11" s="79">
        <f>Rentroll!I5</f>
        <v>37.5</v>
      </c>
      <c r="N11" s="80">
        <f>Rentroll!G5+Rentroll!J5</f>
        <v>92500</v>
      </c>
      <c r="O11" s="49"/>
      <c r="P11" s="49"/>
      <c r="Q11" s="77" t="s">
        <v>92</v>
      </c>
      <c r="R11" s="86">
        <v>0</v>
      </c>
      <c r="S11" s="49"/>
      <c r="T11" s="49"/>
      <c r="U11" s="49"/>
      <c r="V11" s="49"/>
      <c r="W11" s="49"/>
      <c r="X11" s="49"/>
      <c r="Y11" s="49"/>
      <c r="Z11" s="49"/>
      <c r="AA11" s="49"/>
      <c r="AB11" s="49"/>
    </row>
    <row r="12" spans="1:28" ht="18" customHeight="1">
      <c r="B12" s="486" t="str">
        <f>'Cash-flow'!$C$23</f>
        <v>Provize za nákup (EXT)</v>
      </c>
      <c r="C12" s="73"/>
      <c r="D12" s="89"/>
      <c r="E12" s="477">
        <f>F12/F8</f>
        <v>2.9999980390779724E-2</v>
      </c>
      <c r="F12" s="84">
        <v>1086223</v>
      </c>
      <c r="G12" s="85"/>
      <c r="H12" s="49"/>
      <c r="I12" s="77" t="str">
        <f>Rentroll!A6</f>
        <v>Sinsay</v>
      </c>
      <c r="J12" s="78">
        <f>Rentroll!C6</f>
        <v>550</v>
      </c>
      <c r="K12" s="78" t="str">
        <f>Rentroll!B6</f>
        <v>shell and core</v>
      </c>
      <c r="L12" s="79">
        <f>Rentroll!F6</f>
        <v>237.5</v>
      </c>
      <c r="M12" s="79">
        <f>Rentroll!I6</f>
        <v>37.5</v>
      </c>
      <c r="N12" s="80">
        <f>Rentroll!G6+Rentroll!J6</f>
        <v>151250</v>
      </c>
      <c r="O12" s="49"/>
      <c r="P12" s="49"/>
      <c r="Q12" s="77" t="s">
        <v>93</v>
      </c>
      <c r="R12" s="86">
        <v>10</v>
      </c>
      <c r="S12" s="49"/>
      <c r="T12" s="49"/>
      <c r="U12" s="49"/>
      <c r="V12" s="49"/>
      <c r="W12" s="49"/>
      <c r="X12" s="49"/>
      <c r="Y12" s="49"/>
      <c r="Z12" s="49"/>
      <c r="AA12" s="49"/>
      <c r="AB12" s="49"/>
    </row>
    <row r="13" spans="1:28" ht="18" customHeight="1">
      <c r="B13" s="486" t="str">
        <f>'Cash-flow 6.2025'!C24</f>
        <v>Business-angel loan fee</v>
      </c>
      <c r="C13" s="73" t="s">
        <v>91</v>
      </c>
      <c r="D13" s="89"/>
      <c r="E13" s="90"/>
      <c r="F13" s="84">
        <v>1900000</v>
      </c>
      <c r="G13" s="91"/>
      <c r="H13" s="49"/>
      <c r="I13" s="77" t="str">
        <f>Rentroll!A7</f>
        <v>Pepco</v>
      </c>
      <c r="J13" s="78">
        <f>Rentroll!C7</f>
        <v>449</v>
      </c>
      <c r="K13" s="78" t="str">
        <f>Rentroll!B7</f>
        <v>full fit-out</v>
      </c>
      <c r="L13" s="79">
        <f>Rentroll!F7</f>
        <v>308.75</v>
      </c>
      <c r="M13" s="79">
        <f>Rentroll!I7</f>
        <v>45</v>
      </c>
      <c r="N13" s="80">
        <f>Rentroll!G7+Rentroll!J7</f>
        <v>158833.75</v>
      </c>
      <c r="O13" s="49"/>
      <c r="P13" s="49"/>
      <c r="Q13" s="92" t="s">
        <v>94</v>
      </c>
      <c r="R13" s="93">
        <v>2</v>
      </c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18" customHeight="1">
      <c r="B14" s="94" t="s">
        <v>95</v>
      </c>
      <c r="C14" s="555">
        <f>SUM(F8:F13)</f>
        <v>41978079</v>
      </c>
      <c r="D14" s="595"/>
      <c r="E14" s="595"/>
      <c r="F14" s="596"/>
      <c r="G14" s="95"/>
      <c r="H14" s="49"/>
      <c r="I14" s="77" t="str">
        <f>Rentroll!A8</f>
        <v>Valmont/Traficon</v>
      </c>
      <c r="J14" s="78">
        <f>Rentroll!C8</f>
        <v>55</v>
      </c>
      <c r="K14" s="78" t="str">
        <f>Rentroll!B8</f>
        <v>full fit-out</v>
      </c>
      <c r="L14" s="79">
        <f>Rentroll!F8</f>
        <v>625</v>
      </c>
      <c r="M14" s="79">
        <f>Rentroll!I8</f>
        <v>45</v>
      </c>
      <c r="N14" s="80">
        <f>Rentroll!G8+Rentroll!J8</f>
        <v>36850</v>
      </c>
      <c r="O14" s="49"/>
      <c r="P14" s="49"/>
      <c r="Q14" s="96" t="s">
        <v>96</v>
      </c>
      <c r="R14" s="97">
        <f>SUM(R7:R13)</f>
        <v>12</v>
      </c>
      <c r="S14" s="49"/>
      <c r="T14" s="49"/>
      <c r="U14" s="49"/>
      <c r="V14" s="49"/>
      <c r="W14" s="49"/>
      <c r="X14" s="49"/>
      <c r="Y14" s="49"/>
      <c r="Z14" s="49"/>
      <c r="AA14" s="49"/>
      <c r="AB14" s="49"/>
    </row>
    <row r="15" spans="1:28" ht="18" customHeight="1">
      <c r="A15" s="50"/>
      <c r="B15" s="98" t="s">
        <v>97</v>
      </c>
      <c r="C15" s="3"/>
      <c r="D15" s="3"/>
      <c r="E15" s="3"/>
      <c r="F15" s="99">
        <f>C14/$J$19</f>
        <v>10703.232789393167</v>
      </c>
      <c r="G15" s="95"/>
      <c r="H15" s="49"/>
      <c r="I15" s="77" t="str">
        <f>Rentroll!A9</f>
        <v>Bistro</v>
      </c>
      <c r="J15" s="78">
        <f>Rentroll!C9</f>
        <v>180</v>
      </c>
      <c r="K15" s="78" t="str">
        <f>Rentroll!B9</f>
        <v>full fit-out</v>
      </c>
      <c r="L15" s="79">
        <f>Rentroll!F9</f>
        <v>450</v>
      </c>
      <c r="M15" s="79">
        <f>Rentroll!I9</f>
        <v>45</v>
      </c>
      <c r="N15" s="80">
        <f>Rentroll!G9+Rentroll!J9</f>
        <v>89100</v>
      </c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spans="1:28" ht="18" customHeight="1">
      <c r="A16" s="50" t="s">
        <v>98</v>
      </c>
      <c r="B16" s="3"/>
      <c r="C16" s="3"/>
      <c r="D16" s="59"/>
      <c r="E16" s="61"/>
      <c r="F16" s="60"/>
      <c r="G16" s="95"/>
      <c r="H16" s="49"/>
      <c r="I16" s="77" t="str">
        <f>Rentroll!A10</f>
        <v>Zbytek 1</v>
      </c>
      <c r="J16" s="78">
        <f>Rentroll!C10</f>
        <v>233</v>
      </c>
      <c r="K16" s="78" t="str">
        <f>Rentroll!B10</f>
        <v>full fit-out</v>
      </c>
      <c r="L16" s="79">
        <f>Rentroll!F10</f>
        <v>250</v>
      </c>
      <c r="M16" s="79">
        <f>Rentroll!I10</f>
        <v>37.5</v>
      </c>
      <c r="N16" s="80">
        <f>Rentroll!G10+Rentroll!J10</f>
        <v>66987.5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</row>
    <row r="17" spans="1:28" ht="18" customHeight="1">
      <c r="A17" s="50"/>
      <c r="B17" s="558" t="str">
        <f>'Cash-flow'!C24</f>
        <v>B. Architecture &amp; Engineering</v>
      </c>
      <c r="C17" s="595"/>
      <c r="D17" s="595"/>
      <c r="E17" s="595"/>
      <c r="F17" s="596"/>
      <c r="G17" s="95"/>
      <c r="H17" s="49"/>
      <c r="I17" s="77" t="str">
        <f>Rentroll!A11</f>
        <v>Salon</v>
      </c>
      <c r="J17" s="78">
        <f>Rentroll!C11</f>
        <v>70</v>
      </c>
      <c r="K17" s="78" t="str">
        <f>Rentroll!B11</f>
        <v>full fit-out</v>
      </c>
      <c r="L17" s="79">
        <f>Rentroll!F11</f>
        <v>575</v>
      </c>
      <c r="M17" s="79">
        <f>Rentroll!I11</f>
        <v>45</v>
      </c>
      <c r="N17" s="80">
        <f>Rentroll!G11+Rentroll!J11</f>
        <v>43400</v>
      </c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</row>
    <row r="18" spans="1:28" ht="18" customHeight="1">
      <c r="A18" s="50"/>
      <c r="B18" s="100"/>
      <c r="C18" s="101" t="s">
        <v>78</v>
      </c>
      <c r="D18" s="66" t="s">
        <v>99</v>
      </c>
      <c r="E18" s="101" t="s">
        <v>100</v>
      </c>
      <c r="F18" s="102"/>
      <c r="G18" s="95"/>
      <c r="H18" s="49"/>
      <c r="I18" s="77">
        <f>Rentroll!A12</f>
        <v>0</v>
      </c>
      <c r="J18" s="78">
        <f>Rentroll!C12</f>
        <v>0</v>
      </c>
      <c r="K18" s="78">
        <f>Rentroll!B12</f>
        <v>0</v>
      </c>
      <c r="L18" s="79">
        <f>Rentroll!F12</f>
        <v>0</v>
      </c>
      <c r="M18" s="79">
        <f>Rentroll!I12</f>
        <v>0</v>
      </c>
      <c r="N18" s="80">
        <f>Rentroll!G12+Rentroll!J12</f>
        <v>0</v>
      </c>
      <c r="O18" s="49"/>
      <c r="P18" s="49"/>
      <c r="Q18" s="49"/>
      <c r="R18" s="49"/>
      <c r="S18" s="49"/>
      <c r="V18" s="49"/>
      <c r="W18" s="49"/>
      <c r="X18" s="49"/>
      <c r="Y18" s="49"/>
      <c r="Z18" s="49"/>
      <c r="AA18" s="49"/>
      <c r="AB18" s="49"/>
    </row>
    <row r="19" spans="1:28" ht="18" customHeight="1">
      <c r="B19" s="104" t="str">
        <f>'Cash-flow'!C25</f>
        <v>Projekt , architekt</v>
      </c>
      <c r="C19" s="105">
        <v>1</v>
      </c>
      <c r="D19" s="106" t="s">
        <v>91</v>
      </c>
      <c r="E19" s="107">
        <f>SUM(E20:E21)</f>
        <v>0</v>
      </c>
      <c r="F19" s="108">
        <f>SUM(F20:F21)</f>
        <v>800000</v>
      </c>
      <c r="G19" s="109"/>
      <c r="H19" s="49"/>
      <c r="I19" s="110" t="s">
        <v>101</v>
      </c>
      <c r="J19" s="111">
        <f>SUM(J8:J18)</f>
        <v>3922</v>
      </c>
      <c r="K19" s="112" t="s">
        <v>102</v>
      </c>
      <c r="L19" s="113">
        <f t="shared" ref="L19:M19" si="0">SUM(L8:L18)</f>
        <v>3741</v>
      </c>
      <c r="M19" s="114">
        <f t="shared" si="0"/>
        <v>420.5</v>
      </c>
      <c r="N19" s="115">
        <f>SUM(N8:N18)</f>
        <v>1313132.25</v>
      </c>
      <c r="O19" s="49"/>
      <c r="P19" s="49"/>
      <c r="Q19" s="49"/>
      <c r="R19" s="49"/>
      <c r="S19" s="49"/>
      <c r="V19" s="49"/>
      <c r="W19" s="49"/>
      <c r="X19" s="49"/>
      <c r="Y19" s="49"/>
      <c r="Z19" s="49"/>
      <c r="AA19" s="49"/>
      <c r="AB19" s="49"/>
    </row>
    <row r="20" spans="1:28" ht="18" customHeight="1">
      <c r="A20" s="50"/>
      <c r="B20" s="487" t="s">
        <v>103</v>
      </c>
      <c r="C20" s="105">
        <v>1</v>
      </c>
      <c r="D20" s="106" t="s">
        <v>91</v>
      </c>
      <c r="E20" s="488">
        <v>0</v>
      </c>
      <c r="F20" s="489">
        <f>(C40+C48)*E20</f>
        <v>0</v>
      </c>
      <c r="G20" s="76"/>
      <c r="H20" s="49"/>
      <c r="I20" s="116" t="s">
        <v>104</v>
      </c>
      <c r="J20" s="561">
        <f>SUM(N8:N18)*12</f>
        <v>15757587</v>
      </c>
      <c r="K20" s="595"/>
      <c r="L20" s="595"/>
      <c r="M20" s="595"/>
      <c r="N20" s="596"/>
      <c r="O20" s="49"/>
      <c r="P20" s="49"/>
      <c r="Q20" s="49"/>
      <c r="R20" s="49"/>
      <c r="S20" s="49"/>
      <c r="V20" s="49"/>
      <c r="W20" s="49"/>
      <c r="X20" s="49"/>
      <c r="Y20" s="49"/>
      <c r="Z20" s="49"/>
      <c r="AA20" s="49"/>
      <c r="AB20" s="49"/>
    </row>
    <row r="21" spans="1:28" ht="18" customHeight="1">
      <c r="A21" s="50"/>
      <c r="B21" s="487" t="s">
        <v>105</v>
      </c>
      <c r="C21" s="105">
        <v>1</v>
      </c>
      <c r="D21" s="106" t="s">
        <v>91</v>
      </c>
      <c r="E21" s="490">
        <v>0</v>
      </c>
      <c r="F21" s="489">
        <v>800000</v>
      </c>
      <c r="G21" s="109"/>
      <c r="H21" s="49"/>
      <c r="I21" s="117" t="s">
        <v>106</v>
      </c>
      <c r="J21" s="118"/>
      <c r="K21" s="118" t="s">
        <v>107</v>
      </c>
      <c r="L21" s="119"/>
      <c r="M21" s="120"/>
      <c r="N21" s="121">
        <f>(J20-N23-N24)/(C90-J30+N27)</f>
        <v>8.5392310807527932E-2</v>
      </c>
      <c r="O21" s="49"/>
      <c r="P21" s="49"/>
      <c r="Q21" s="49"/>
      <c r="R21" s="49"/>
      <c r="S21" s="49"/>
      <c r="V21" s="49"/>
      <c r="W21" s="49"/>
      <c r="X21" s="49"/>
      <c r="Y21" s="49"/>
      <c r="Z21" s="49"/>
      <c r="AA21" s="49"/>
      <c r="AB21" s="49"/>
    </row>
    <row r="22" spans="1:28" ht="18" customHeight="1">
      <c r="B22" s="122" t="str">
        <f>'Cash-flow'!C26</f>
        <v>Engineering</v>
      </c>
      <c r="C22" s="417">
        <v>1</v>
      </c>
      <c r="D22" s="491" t="s">
        <v>91</v>
      </c>
      <c r="E22" s="492">
        <v>2.5000000000000001E-3</v>
      </c>
      <c r="F22" s="412"/>
      <c r="G22" s="123"/>
      <c r="H22" s="49"/>
      <c r="I22" s="124" t="s">
        <v>108</v>
      </c>
      <c r="J22" s="118"/>
      <c r="K22" s="125"/>
      <c r="L22" s="125"/>
      <c r="M22" s="126">
        <v>6.5000000000000002E-2</v>
      </c>
      <c r="N22" s="127">
        <f>N21/M22</f>
        <v>1.3137278585773529</v>
      </c>
      <c r="O22" s="49"/>
      <c r="P22" s="49"/>
      <c r="Q22" s="49"/>
      <c r="R22" s="49"/>
      <c r="S22" s="49"/>
      <c r="V22" s="49"/>
      <c r="W22" s="49"/>
      <c r="X22" s="49"/>
      <c r="Y22" s="49"/>
      <c r="Z22" s="49"/>
      <c r="AA22" s="49"/>
      <c r="AB22" s="49"/>
    </row>
    <row r="23" spans="1:28" ht="18" customHeight="1">
      <c r="B23" s="94" t="s">
        <v>95</v>
      </c>
      <c r="C23" s="555">
        <f>F19+F22</f>
        <v>800000</v>
      </c>
      <c r="D23" s="595"/>
      <c r="E23" s="595"/>
      <c r="F23" s="596"/>
      <c r="G23" s="123"/>
      <c r="H23" s="49"/>
      <c r="I23" s="103" t="s">
        <v>109</v>
      </c>
      <c r="J23" s="125"/>
      <c r="K23" s="125"/>
      <c r="L23" s="125"/>
      <c r="M23" s="129">
        <v>32</v>
      </c>
      <c r="N23" s="130">
        <f>J19*M23*12</f>
        <v>1506048</v>
      </c>
      <c r="O23" s="131"/>
      <c r="P23" s="49"/>
      <c r="Q23" s="49"/>
      <c r="R23" s="49"/>
      <c r="S23" s="49"/>
      <c r="V23" s="49"/>
      <c r="W23" s="49"/>
      <c r="X23" s="49"/>
      <c r="Y23" s="49"/>
      <c r="Z23" s="49"/>
      <c r="AA23" s="49"/>
      <c r="AB23" s="49"/>
    </row>
    <row r="24" spans="1:28" ht="18" customHeight="1">
      <c r="A24" s="50"/>
      <c r="B24" s="98" t="s">
        <v>97</v>
      </c>
      <c r="C24" s="3"/>
      <c r="D24" s="3"/>
      <c r="E24" s="3"/>
      <c r="F24" s="99">
        <f>C23/$J$19</f>
        <v>203.9775624681285</v>
      </c>
      <c r="G24" s="123"/>
      <c r="H24" s="49"/>
      <c r="I24" s="133" t="s">
        <v>110</v>
      </c>
      <c r="J24" s="125"/>
      <c r="K24" s="125"/>
      <c r="L24" s="134"/>
      <c r="M24" s="135"/>
      <c r="N24" s="130">
        <f>73000</f>
        <v>73000</v>
      </c>
      <c r="O24" s="49"/>
      <c r="P24" s="49"/>
      <c r="Q24" s="49"/>
      <c r="R24" s="49"/>
      <c r="S24" s="49"/>
      <c r="V24" s="49"/>
      <c r="W24" s="49"/>
      <c r="X24" s="49"/>
      <c r="Y24" s="49"/>
      <c r="Z24" s="49"/>
      <c r="AA24" s="49"/>
      <c r="AB24" s="49"/>
    </row>
    <row r="25" spans="1:28" ht="18" customHeight="1">
      <c r="G25" s="123"/>
      <c r="H25" s="49"/>
      <c r="I25" s="136" t="s">
        <v>111</v>
      </c>
      <c r="J25" s="137"/>
      <c r="K25" s="137"/>
      <c r="L25" s="138"/>
      <c r="M25" s="139"/>
      <c r="N25" s="140">
        <v>7.0000000000000007E-2</v>
      </c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18" customHeight="1">
      <c r="A26" s="50" t="s">
        <v>112</v>
      </c>
      <c r="G26" s="123"/>
      <c r="H26" s="49"/>
      <c r="I26" s="141" t="s">
        <v>113</v>
      </c>
      <c r="J26" s="142"/>
      <c r="K26" s="142"/>
      <c r="L26" s="143"/>
      <c r="M26" s="144">
        <v>0</v>
      </c>
      <c r="N26" s="493">
        <f>-J31*M26</f>
        <v>0</v>
      </c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</row>
    <row r="27" spans="1:28" ht="18" customHeight="1">
      <c r="B27" s="558" t="str">
        <f>'Cash-flow'!C27</f>
        <v>C. Constructions costs</v>
      </c>
      <c r="C27" s="595"/>
      <c r="D27" s="595"/>
      <c r="E27" s="595"/>
      <c r="F27" s="596"/>
      <c r="G27" s="123"/>
      <c r="H27" s="49"/>
      <c r="I27" s="141" t="s">
        <v>114</v>
      </c>
      <c r="J27" s="142"/>
      <c r="K27" s="142"/>
      <c r="L27" s="143"/>
      <c r="M27" s="144">
        <v>0.21</v>
      </c>
      <c r="N27" s="493">
        <f>IF(IF(J30&gt;0,-(J30-F8*J29-C21)*M27,0)&gt;0,0,-(J30-F8*J29-C21)*M27)</f>
        <v>0.21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</row>
    <row r="28" spans="1:28" ht="15.95">
      <c r="B28" s="100"/>
      <c r="C28" s="101" t="s">
        <v>78</v>
      </c>
      <c r="D28" s="66" t="s">
        <v>99</v>
      </c>
      <c r="E28" s="101" t="s">
        <v>100</v>
      </c>
      <c r="F28" s="102"/>
      <c r="G28" s="123"/>
      <c r="H28" s="49"/>
      <c r="I28" s="141" t="s">
        <v>115</v>
      </c>
      <c r="J28" s="58"/>
      <c r="K28" s="58"/>
      <c r="L28" s="59"/>
      <c r="M28" s="145">
        <v>0</v>
      </c>
      <c r="N28" s="146">
        <f>(J31-C90)*M27*-M28</f>
        <v>0</v>
      </c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spans="1:28" ht="18" customHeight="1">
      <c r="A29" s="50"/>
      <c r="B29" s="104" t="str">
        <f>'Cash-flow'!C28</f>
        <v>Náklady na realizace stavby (Shell and core)</v>
      </c>
      <c r="C29" s="105">
        <v>1</v>
      </c>
      <c r="D29" s="106" t="s">
        <v>79</v>
      </c>
      <c r="E29" s="74">
        <f>F29/J19</f>
        <v>24954.105048444671</v>
      </c>
      <c r="F29" s="75">
        <f>SUM(F30:F33)</f>
        <v>97870000</v>
      </c>
      <c r="G29" s="123"/>
      <c r="H29" s="49"/>
      <c r="I29" s="148" t="s">
        <v>116</v>
      </c>
      <c r="J29" s="559">
        <f>0</f>
        <v>0</v>
      </c>
      <c r="K29" s="595"/>
      <c r="L29" s="595"/>
      <c r="M29" s="595"/>
      <c r="N29" s="596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</row>
    <row r="30" spans="1:28" ht="27" customHeight="1">
      <c r="A30" s="50"/>
      <c r="B30" s="149" t="s">
        <v>117</v>
      </c>
      <c r="C30" s="105">
        <v>1</v>
      </c>
      <c r="D30" s="106" t="s">
        <v>79</v>
      </c>
      <c r="E30" s="74">
        <v>14500</v>
      </c>
      <c r="F30" s="150">
        <v>97870000</v>
      </c>
      <c r="G30" s="123"/>
      <c r="H30" s="49"/>
      <c r="I30" s="151" t="s">
        <v>118</v>
      </c>
      <c r="J30" s="560">
        <f>IF( J29&gt;0,1000000,0)</f>
        <v>0</v>
      </c>
      <c r="K30" s="597"/>
      <c r="L30" s="597"/>
      <c r="M30" s="597"/>
      <c r="N30" s="598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</row>
    <row r="31" spans="1:28" ht="27" customHeight="1">
      <c r="A31" s="50"/>
      <c r="B31" s="149" t="s">
        <v>119</v>
      </c>
      <c r="C31" s="105">
        <v>1</v>
      </c>
      <c r="D31" s="106" t="s">
        <v>79</v>
      </c>
      <c r="E31" s="74">
        <v>750</v>
      </c>
      <c r="F31" s="150">
        <f>E31*D8</f>
        <v>0</v>
      </c>
      <c r="G31" s="123"/>
      <c r="H31" s="49"/>
      <c r="I31" s="151" t="s">
        <v>120</v>
      </c>
      <c r="J31" s="560">
        <f>(J20-N23-N24)/N25</f>
        <v>202550557.14285713</v>
      </c>
      <c r="K31" s="597"/>
      <c r="L31" s="597"/>
      <c r="M31" s="597"/>
      <c r="N31" s="598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spans="1:28" ht="18.95">
      <c r="A32" s="50"/>
      <c r="B32" s="149" t="s">
        <v>121</v>
      </c>
      <c r="C32" s="105">
        <v>1</v>
      </c>
      <c r="D32" s="106" t="s">
        <v>79</v>
      </c>
      <c r="E32" s="74">
        <v>1050</v>
      </c>
      <c r="F32" s="150">
        <f>D8*E32</f>
        <v>0</v>
      </c>
      <c r="G32" s="123"/>
      <c r="H32" s="49"/>
      <c r="I32" s="151" t="s">
        <v>122</v>
      </c>
      <c r="J32" s="561">
        <f>J31+J30</f>
        <v>202550557.14285713</v>
      </c>
      <c r="K32" s="595"/>
      <c r="L32" s="595"/>
      <c r="M32" s="595"/>
      <c r="N32" s="596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</row>
    <row r="33" spans="1:28" ht="18" customHeight="1">
      <c r="A33" s="50"/>
      <c r="B33" s="149" t="s">
        <v>123</v>
      </c>
      <c r="C33" s="105">
        <v>1</v>
      </c>
      <c r="D33" s="106" t="s">
        <v>87</v>
      </c>
      <c r="E33" s="74">
        <v>0</v>
      </c>
      <c r="F33" s="150"/>
      <c r="G33" s="123"/>
      <c r="H33" s="49"/>
      <c r="I33" s="49"/>
      <c r="J33" s="58"/>
      <c r="K33" s="58"/>
      <c r="L33" s="59"/>
      <c r="M33" s="61"/>
      <c r="N33" s="60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</row>
    <row r="34" spans="1:28" ht="18" customHeight="1">
      <c r="A34" s="50"/>
      <c r="B34" s="104" t="str">
        <f>'Cash-flow'!C29</f>
        <v>Bourací práce</v>
      </c>
      <c r="C34" s="105">
        <v>1</v>
      </c>
      <c r="D34" s="106" t="s">
        <v>87</v>
      </c>
      <c r="E34" s="74">
        <v>0</v>
      </c>
      <c r="F34" s="75">
        <f t="shared" ref="F34:F35" si="1">E34</f>
        <v>0</v>
      </c>
      <c r="G34" s="123"/>
      <c r="H34" s="49"/>
      <c r="I34" s="49"/>
      <c r="J34" s="154"/>
      <c r="K34" s="58"/>
      <c r="L34" s="59"/>
      <c r="M34" s="61"/>
      <c r="N34" s="60">
        <f>J31/25</f>
        <v>8102022.2857142854</v>
      </c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</row>
    <row r="35" spans="1:28" ht="18" customHeight="1">
      <c r="B35" s="104" t="str">
        <f>'Cash-flow'!C30</f>
        <v>Rekonstrukční náklady</v>
      </c>
      <c r="C35" s="105">
        <v>1</v>
      </c>
      <c r="D35" s="155" t="s">
        <v>87</v>
      </c>
      <c r="E35" s="74">
        <v>0</v>
      </c>
      <c r="F35" s="75">
        <f t="shared" si="1"/>
        <v>0</v>
      </c>
      <c r="G35" s="123"/>
      <c r="H35" s="49"/>
      <c r="I35" s="49"/>
      <c r="J35" s="58"/>
      <c r="K35" s="58"/>
      <c r="L35" s="59"/>
      <c r="M35" s="61"/>
      <c r="N35" s="60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</row>
    <row r="36" spans="1:28" ht="18" customHeight="1">
      <c r="B36" s="104" t="str">
        <f>'Cash-flow'!C31</f>
        <v>Náklady na inženýrské sítě</v>
      </c>
      <c r="C36" s="105">
        <v>1</v>
      </c>
      <c r="D36" s="106" t="s">
        <v>79</v>
      </c>
      <c r="E36" s="74">
        <v>170</v>
      </c>
      <c r="F36" s="75">
        <f>E36*D8</f>
        <v>0</v>
      </c>
      <c r="G36" s="60"/>
      <c r="H36" s="156"/>
      <c r="I36" s="157"/>
      <c r="J36" s="158"/>
      <c r="K36" s="158"/>
      <c r="L36" s="158"/>
      <c r="M36" s="158"/>
      <c r="N36" s="15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</row>
    <row r="37" spans="1:28" ht="18" customHeight="1">
      <c r="A37" s="50"/>
      <c r="B37" s="104" t="str">
        <f>'Cash-flow'!C32</f>
        <v>Operativní náklady spojené s realizaci stavby</v>
      </c>
      <c r="C37" s="105">
        <v>1</v>
      </c>
      <c r="D37" s="161" t="s">
        <v>91</v>
      </c>
      <c r="E37" s="162">
        <v>3.0000000000000001E-3</v>
      </c>
      <c r="F37" s="75">
        <f>SUM(F29:F36)*E37</f>
        <v>587220</v>
      </c>
      <c r="G37" s="60"/>
      <c r="H37" s="156"/>
      <c r="I37" s="556" t="s">
        <v>124</v>
      </c>
      <c r="J37" s="494"/>
      <c r="K37" s="494"/>
      <c r="L37" s="494"/>
      <c r="M37" s="557">
        <f>J32-C90+N28+N26+N27</f>
        <v>36510560.917748652</v>
      </c>
      <c r="N37" s="59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spans="1:28" ht="24.75" customHeight="1">
      <c r="A38" s="50"/>
      <c r="B38" s="163"/>
      <c r="C38" s="417"/>
      <c r="D38" s="161"/>
      <c r="E38" s="492"/>
      <c r="F38" s="412"/>
      <c r="G38" s="60"/>
      <c r="H38" s="156"/>
      <c r="I38" s="600"/>
      <c r="J38" s="494"/>
      <c r="K38" s="494"/>
      <c r="L38" s="494"/>
      <c r="M38" s="601"/>
      <c r="N38" s="59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spans="1:28" ht="18" customHeight="1">
      <c r="A39" s="50"/>
      <c r="B39" s="104" t="str">
        <f>'Cash-flow'!C34</f>
        <v>Rezerva</v>
      </c>
      <c r="C39" s="417">
        <v>1</v>
      </c>
      <c r="D39" s="495" t="s">
        <v>91</v>
      </c>
      <c r="E39" s="492">
        <v>0.08</v>
      </c>
      <c r="F39" s="412">
        <f>SUM(F29,F34:F38)*E39</f>
        <v>7876577.6000000006</v>
      </c>
      <c r="G39" s="60"/>
      <c r="H39" s="49"/>
      <c r="I39" s="165" t="s">
        <v>125</v>
      </c>
      <c r="J39" s="166"/>
      <c r="K39" s="167"/>
      <c r="L39" s="166"/>
      <c r="M39" s="166"/>
      <c r="N39" s="496">
        <f>M37/J31</f>
        <v>0.18025406314729647</v>
      </c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28" ht="18" customHeight="1">
      <c r="B40" s="94" t="s">
        <v>95</v>
      </c>
      <c r="C40" s="555">
        <f>SUM(F30:F39)</f>
        <v>106333797.59999999</v>
      </c>
      <c r="D40" s="595"/>
      <c r="E40" s="595"/>
      <c r="F40" s="596"/>
      <c r="G40" s="60"/>
      <c r="H40" s="49"/>
      <c r="I40" s="165" t="s">
        <v>126</v>
      </c>
      <c r="J40" s="166"/>
      <c r="K40" s="167"/>
      <c r="L40" s="166"/>
      <c r="M40" s="166"/>
      <c r="N40" s="496">
        <f>M37/C90</f>
        <v>0.21989015720087454</v>
      </c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spans="1:28" ht="18" customHeight="1">
      <c r="A41" s="50"/>
      <c r="B41" s="98" t="s">
        <v>97</v>
      </c>
      <c r="C41" s="3"/>
      <c r="D41" s="3"/>
      <c r="E41" s="3"/>
      <c r="F41" s="99">
        <f>C40/$J$19</f>
        <v>27112.136053034166</v>
      </c>
      <c r="G41" s="60"/>
      <c r="H41" s="49"/>
      <c r="I41" s="168" t="s">
        <v>127</v>
      </c>
      <c r="J41" s="169"/>
      <c r="K41" s="167"/>
      <c r="L41" s="169"/>
      <c r="M41" s="170"/>
      <c r="N41" s="497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spans="1:28" ht="18" customHeight="1">
      <c r="A42" s="50"/>
      <c r="G42" s="60"/>
      <c r="H42" s="49"/>
      <c r="I42" s="168" t="s">
        <v>128</v>
      </c>
      <c r="J42" s="169"/>
      <c r="K42" s="169"/>
      <c r="L42" s="169"/>
      <c r="M42" s="169"/>
      <c r="N42" s="498">
        <f>M37/D86</f>
        <v>0.59686248081307625</v>
      </c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spans="1:28" ht="18" customHeight="1">
      <c r="A43" s="50" t="s">
        <v>129</v>
      </c>
      <c r="G43" s="60"/>
      <c r="H43" s="49"/>
      <c r="I43" s="49"/>
      <c r="J43" s="58"/>
      <c r="K43" s="58"/>
      <c r="L43" s="59"/>
      <c r="M43" s="61"/>
      <c r="N43" s="60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spans="1:28" ht="18" customHeight="1">
      <c r="B44" s="558" t="str">
        <f>'Cash-flow'!C35</f>
        <v>D. Tenant improvements</v>
      </c>
      <c r="C44" s="595"/>
      <c r="D44" s="595"/>
      <c r="E44" s="595"/>
      <c r="F44" s="596"/>
      <c r="G44" s="60"/>
      <c r="H44" s="49"/>
      <c r="I44" s="49"/>
      <c r="J44" s="58"/>
      <c r="K44" s="58"/>
      <c r="L44" s="59"/>
      <c r="M44" s="61"/>
      <c r="N44" s="60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spans="1:28" ht="18" customHeight="1">
      <c r="A45" s="50"/>
      <c r="B45" s="100"/>
      <c r="C45" s="101" t="s">
        <v>78</v>
      </c>
      <c r="D45" s="66" t="s">
        <v>99</v>
      </c>
      <c r="E45" s="101" t="s">
        <v>100</v>
      </c>
      <c r="F45" s="102"/>
      <c r="G45" s="60"/>
      <c r="H45" s="49"/>
      <c r="I45" s="171"/>
      <c r="J45" s="49"/>
      <c r="K45" s="49"/>
      <c r="L45" s="49"/>
      <c r="M45" s="49"/>
      <c r="N45" s="172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spans="1:28" ht="18" customHeight="1">
      <c r="A46" s="50"/>
      <c r="B46" s="104" t="str">
        <f>'Cash-flow'!C36</f>
        <v>Tenant improvement</v>
      </c>
      <c r="C46" s="105">
        <v>1</v>
      </c>
      <c r="D46" s="106" t="s">
        <v>79</v>
      </c>
      <c r="E46" s="74">
        <v>0</v>
      </c>
      <c r="F46" s="75"/>
      <c r="G46" s="60"/>
      <c r="H46" s="49"/>
      <c r="I46" s="171"/>
      <c r="J46" s="171"/>
      <c r="K46" s="171"/>
      <c r="L46" s="171"/>
      <c r="M46" s="171"/>
      <c r="N46" s="171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spans="1:28" ht="18" customHeight="1">
      <c r="A47" s="50"/>
      <c r="B47" s="104" t="str">
        <f>'Cash-flow'!C37</f>
        <v>Tenant contribution</v>
      </c>
      <c r="C47" s="417">
        <v>1</v>
      </c>
      <c r="D47" s="491" t="s">
        <v>87</v>
      </c>
      <c r="E47" s="418">
        <v>0</v>
      </c>
      <c r="F47" s="412">
        <f>E47</f>
        <v>0</v>
      </c>
      <c r="G47" s="60"/>
      <c r="H47" s="49"/>
      <c r="I47" s="173"/>
      <c r="J47" s="171"/>
      <c r="K47" s="171"/>
      <c r="L47" s="171"/>
      <c r="M47" s="171"/>
      <c r="N47" s="171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spans="1:28" ht="18" customHeight="1">
      <c r="B48" s="94" t="s">
        <v>95</v>
      </c>
      <c r="C48" s="555">
        <f>SUM(F46:F47)</f>
        <v>0</v>
      </c>
      <c r="D48" s="595"/>
      <c r="E48" s="595"/>
      <c r="F48" s="596"/>
      <c r="G48" s="60"/>
      <c r="H48" s="49"/>
      <c r="I48" s="467"/>
      <c r="J48" s="171"/>
      <c r="K48" s="171"/>
      <c r="L48" s="171"/>
      <c r="M48" s="171"/>
      <c r="N48" s="173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spans="1:28" ht="18" customHeight="1">
      <c r="A49" s="50"/>
      <c r="B49" s="98" t="s">
        <v>97</v>
      </c>
      <c r="C49" s="176"/>
      <c r="D49" s="176"/>
      <c r="E49" s="176"/>
      <c r="F49" s="99">
        <f>C48/$J$19</f>
        <v>0</v>
      </c>
      <c r="G49" s="60"/>
      <c r="H49" s="49"/>
      <c r="I49" s="171"/>
      <c r="J49" s="171"/>
      <c r="K49" s="171"/>
      <c r="L49" s="171"/>
      <c r="M49" s="171"/>
      <c r="N49" s="171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spans="1:28" ht="18" customHeight="1">
      <c r="A50" s="50"/>
      <c r="B50" s="49"/>
      <c r="C50" s="58"/>
      <c r="D50" s="59"/>
      <c r="E50" s="61"/>
      <c r="F50" s="60"/>
      <c r="G50" s="60"/>
      <c r="H50" s="49"/>
      <c r="I50" s="171"/>
      <c r="J50" s="171"/>
      <c r="K50" s="171"/>
      <c r="L50" s="171"/>
      <c r="M50" s="171"/>
      <c r="N50" s="171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spans="1:28" ht="18" customHeight="1">
      <c r="A51" s="50" t="s">
        <v>130</v>
      </c>
      <c r="B51" s="49"/>
      <c r="C51" s="58"/>
      <c r="D51" s="59"/>
      <c r="E51" s="61"/>
      <c r="F51" s="60"/>
      <c r="G51" s="60"/>
      <c r="H51" s="49"/>
      <c r="I51" s="171"/>
      <c r="J51" s="171"/>
      <c r="K51" s="171"/>
      <c r="L51" s="171"/>
      <c r="M51" s="171"/>
      <c r="N51" s="171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</row>
    <row r="52" spans="1:28" ht="18" customHeight="1">
      <c r="B52" s="558" t="str">
        <f>'Cash-flow'!C38</f>
        <v>E. Soft costs</v>
      </c>
      <c r="C52" s="595"/>
      <c r="D52" s="595"/>
      <c r="E52" s="595"/>
      <c r="F52" s="596"/>
      <c r="G52" s="60"/>
      <c r="H52" s="49"/>
      <c r="I52" s="171"/>
      <c r="J52" s="171"/>
      <c r="K52" s="171"/>
      <c r="L52" s="171"/>
      <c r="M52" s="171"/>
      <c r="N52" s="171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</row>
    <row r="53" spans="1:28" ht="18" customHeight="1">
      <c r="A53" s="50"/>
      <c r="B53" s="100"/>
      <c r="C53" s="101" t="s">
        <v>78</v>
      </c>
      <c r="D53" s="66" t="s">
        <v>99</v>
      </c>
      <c r="E53" s="101" t="s">
        <v>100</v>
      </c>
      <c r="F53" s="102"/>
      <c r="G53" s="60"/>
      <c r="H53" s="49"/>
      <c r="I53" s="171"/>
      <c r="J53" s="171"/>
      <c r="K53" s="171"/>
      <c r="L53" s="171"/>
      <c r="M53" s="171"/>
      <c r="N53" s="171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</row>
    <row r="54" spans="1:28" ht="18" customHeight="1">
      <c r="A54" s="50"/>
      <c r="B54" s="104" t="str">
        <f>'Cash-flow'!C39</f>
        <v>Project management (Interní)</v>
      </c>
      <c r="C54" s="105">
        <v>1</v>
      </c>
      <c r="D54" s="106" t="s">
        <v>91</v>
      </c>
      <c r="E54" s="162"/>
      <c r="F54" s="183">
        <v>2172960</v>
      </c>
      <c r="G54" s="60"/>
      <c r="H54" s="49"/>
      <c r="I54" s="49"/>
      <c r="J54" s="171"/>
      <c r="K54" s="171"/>
      <c r="L54" s="171"/>
      <c r="M54" s="171"/>
      <c r="N54" s="171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</row>
    <row r="55" spans="1:28" ht="18" customHeight="1">
      <c r="B55" s="104" t="str">
        <f>'Cash-flow'!C40</f>
        <v>Project management (Externí)</v>
      </c>
      <c r="C55" s="105">
        <v>1</v>
      </c>
      <c r="D55" s="106" t="s">
        <v>91</v>
      </c>
      <c r="E55" s="162">
        <f>F55/C40</f>
        <v>2.5438760404058024E-2</v>
      </c>
      <c r="F55" s="108">
        <f>SUM(F56:F61)</f>
        <v>2705000</v>
      </c>
      <c r="G55" s="60"/>
      <c r="H55" s="49"/>
      <c r="I55" s="467"/>
      <c r="J55" s="171"/>
      <c r="K55" s="171"/>
      <c r="L55" s="171"/>
      <c r="M55" s="171"/>
      <c r="N55" s="171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</row>
    <row r="56" spans="1:28" ht="18" customHeight="1">
      <c r="B56" s="184" t="s">
        <v>131</v>
      </c>
      <c r="C56" s="105">
        <v>1</v>
      </c>
      <c r="D56" s="106" t="s">
        <v>91</v>
      </c>
      <c r="E56" s="162"/>
      <c r="F56" s="150">
        <v>900000</v>
      </c>
      <c r="G56" s="60"/>
      <c r="H56" s="49"/>
      <c r="I56" s="171"/>
      <c r="J56" s="171"/>
      <c r="K56" s="171"/>
      <c r="L56" s="171"/>
      <c r="M56" s="171"/>
      <c r="N56" s="171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</row>
    <row r="57" spans="1:28" ht="18" customHeight="1">
      <c r="A57" s="50"/>
      <c r="B57" s="184" t="s">
        <v>132</v>
      </c>
      <c r="C57" s="105">
        <v>1</v>
      </c>
      <c r="D57" s="106" t="s">
        <v>91</v>
      </c>
      <c r="E57" s="162"/>
      <c r="F57" s="150">
        <v>600000</v>
      </c>
      <c r="G57" s="60"/>
      <c r="H57" s="49"/>
      <c r="I57" s="49"/>
      <c r="J57" s="171"/>
      <c r="K57" s="171"/>
      <c r="L57" s="171"/>
      <c r="M57" s="171"/>
      <c r="N57" s="171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</row>
    <row r="58" spans="1:28" ht="18" customHeight="1">
      <c r="A58" s="50"/>
      <c r="B58" s="184"/>
      <c r="C58" s="105">
        <v>1</v>
      </c>
      <c r="D58" s="106" t="s">
        <v>91</v>
      </c>
      <c r="E58" s="162"/>
      <c r="F58" s="150"/>
      <c r="G58" s="60"/>
      <c r="H58" s="49"/>
      <c r="I58" s="171"/>
      <c r="J58" s="171"/>
      <c r="K58" s="171"/>
      <c r="L58" s="171"/>
      <c r="M58" s="171"/>
      <c r="N58" s="171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spans="1:28" ht="18" customHeight="1">
      <c r="A59" s="50"/>
      <c r="B59" s="184" t="s">
        <v>133</v>
      </c>
      <c r="C59" s="105">
        <v>1</v>
      </c>
      <c r="D59" s="106" t="s">
        <v>91</v>
      </c>
      <c r="E59" s="162"/>
      <c r="F59" s="150">
        <v>180000</v>
      </c>
      <c r="G59" s="60"/>
      <c r="H59" s="49"/>
      <c r="I59" s="173"/>
      <c r="J59" s="171"/>
      <c r="K59" s="171"/>
      <c r="L59" s="171"/>
      <c r="M59" s="171"/>
      <c r="N59" s="171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spans="1:28" ht="16.5" customHeight="1">
      <c r="B60" s="184" t="s">
        <v>134</v>
      </c>
      <c r="C60" s="105">
        <v>1</v>
      </c>
      <c r="D60" s="106" t="s">
        <v>91</v>
      </c>
      <c r="E60" s="162"/>
      <c r="F60" s="150">
        <v>125000</v>
      </c>
      <c r="G60" s="60"/>
      <c r="H60" s="49"/>
      <c r="I60" s="49"/>
      <c r="J60" s="171"/>
      <c r="K60" s="171"/>
      <c r="L60" s="171"/>
      <c r="M60" s="171"/>
      <c r="N60" s="171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spans="1:28" ht="18" customHeight="1">
      <c r="A61" s="50"/>
      <c r="B61" s="184" t="str">
        <f>Params!H4</f>
        <v>TDI</v>
      </c>
      <c r="C61" s="105">
        <v>1</v>
      </c>
      <c r="D61" s="106" t="s">
        <v>91</v>
      </c>
      <c r="E61" s="162"/>
      <c r="F61" s="150">
        <v>900000</v>
      </c>
      <c r="G61" s="60"/>
      <c r="H61" s="49"/>
      <c r="I61" s="171"/>
      <c r="J61" s="171"/>
      <c r="K61" s="171"/>
      <c r="L61" s="171"/>
      <c r="M61" s="171"/>
      <c r="N61" s="171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spans="1:28" ht="18" customHeight="1">
      <c r="A62" s="50"/>
      <c r="B62" s="104" t="str">
        <f>'Cash-flow'!C43</f>
        <v>Administrativní náklady</v>
      </c>
      <c r="C62" s="105">
        <v>1</v>
      </c>
      <c r="D62" s="106" t="s">
        <v>91</v>
      </c>
      <c r="E62" s="162">
        <v>1.5E-3</v>
      </c>
      <c r="F62" s="183">
        <f t="shared" ref="F62:F63" si="2">$C$40*E62</f>
        <v>159500.69639999999</v>
      </c>
      <c r="G62" s="60"/>
      <c r="H62" s="49"/>
      <c r="I62" s="185"/>
      <c r="J62" s="171"/>
      <c r="K62" s="171"/>
      <c r="L62" s="171"/>
      <c r="M62" s="171"/>
      <c r="N62" s="171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spans="1:28" ht="18" customHeight="1">
      <c r="A63" s="50"/>
      <c r="B63" s="104" t="str">
        <f>'Cash-flow'!C44</f>
        <v>Ostatní náklady</v>
      </c>
      <c r="C63" s="105">
        <v>1</v>
      </c>
      <c r="D63" s="161" t="s">
        <v>91</v>
      </c>
      <c r="E63" s="162">
        <v>2E-3</v>
      </c>
      <c r="F63" s="183">
        <f t="shared" si="2"/>
        <v>212667.59519999998</v>
      </c>
      <c r="G63" s="60"/>
      <c r="H63" s="49"/>
      <c r="I63" s="171"/>
      <c r="J63" s="171"/>
      <c r="K63" s="171"/>
      <c r="L63" s="171"/>
      <c r="M63" s="171"/>
      <c r="N63" s="171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spans="1:28" ht="18" customHeight="1">
      <c r="A64" s="50"/>
      <c r="B64" s="104" t="str">
        <f>'Cash-flow'!C45</f>
        <v>Právní služby</v>
      </c>
      <c r="C64" s="105">
        <v>1</v>
      </c>
      <c r="D64" s="161" t="s">
        <v>135</v>
      </c>
      <c r="E64" s="162">
        <v>5.0000000000000001E-3</v>
      </c>
      <c r="F64" s="183">
        <f>$C$40*E64</f>
        <v>531668.98800000001</v>
      </c>
      <c r="G64" s="60"/>
      <c r="H64" s="49"/>
      <c r="I64" s="173"/>
      <c r="J64" s="171"/>
      <c r="K64" s="171"/>
      <c r="L64" s="171"/>
      <c r="M64" s="171"/>
      <c r="N64" s="171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spans="1:28" ht="18" customHeight="1">
      <c r="A65" s="50"/>
      <c r="B65" s="104" t="str">
        <f>'Cash-flow'!C46</f>
        <v>Marketing</v>
      </c>
      <c r="C65" s="105">
        <v>1</v>
      </c>
      <c r="D65" s="161" t="s">
        <v>91</v>
      </c>
      <c r="E65" s="162">
        <v>0</v>
      </c>
      <c r="F65" s="183">
        <v>0</v>
      </c>
      <c r="G65" s="60"/>
      <c r="H65" s="49"/>
      <c r="I65" s="49"/>
      <c r="J65" s="171"/>
      <c r="K65" s="171"/>
      <c r="L65" s="171"/>
      <c r="M65" s="171"/>
      <c r="N65" s="171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spans="1:28" ht="18" customHeight="1">
      <c r="B66" s="104" t="str">
        <f>'Cash-flow'!C47</f>
        <v>Letting fee</v>
      </c>
      <c r="C66" s="417">
        <v>1</v>
      </c>
      <c r="D66" s="495" t="s">
        <v>136</v>
      </c>
      <c r="E66" s="499">
        <v>0.15</v>
      </c>
      <c r="F66" s="500">
        <f>E66*Rentroll!L13</f>
        <v>2363638.0499999998</v>
      </c>
      <c r="G66" s="60"/>
      <c r="H66" s="49"/>
      <c r="I66" s="173"/>
      <c r="J66" s="171"/>
      <c r="K66" s="171"/>
      <c r="L66" s="171"/>
      <c r="M66" s="171"/>
      <c r="N66" s="171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spans="1:28" ht="18" customHeight="1">
      <c r="A67" s="50"/>
      <c r="B67" s="94" t="s">
        <v>95</v>
      </c>
      <c r="C67" s="555">
        <f>F54+F55+SUM(F62:F66)</f>
        <v>8145435.3295999998</v>
      </c>
      <c r="D67" s="595"/>
      <c r="E67" s="595"/>
      <c r="F67" s="596"/>
      <c r="G67" s="60"/>
      <c r="H67" s="49"/>
      <c r="I67" s="49"/>
      <c r="J67" s="171"/>
      <c r="K67" s="171"/>
      <c r="L67" s="171"/>
      <c r="M67" s="171"/>
      <c r="N67" s="171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spans="1:28" ht="18" customHeight="1">
      <c r="A68" s="50"/>
      <c r="B68" s="98" t="s">
        <v>97</v>
      </c>
      <c r="C68" s="176"/>
      <c r="D68" s="176"/>
      <c r="E68" s="176"/>
      <c r="F68" s="99">
        <f>C67/$J$19</f>
        <v>2076.8575547169812</v>
      </c>
      <c r="G68" s="60"/>
      <c r="H68" s="49"/>
      <c r="I68" s="171"/>
      <c r="J68" s="171"/>
      <c r="K68" s="171"/>
      <c r="L68" s="171"/>
      <c r="M68" s="171"/>
      <c r="N68" s="171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</row>
    <row r="69" spans="1:28" ht="18" customHeight="1">
      <c r="A69" s="50"/>
      <c r="B69" s="49"/>
      <c r="C69" s="58"/>
      <c r="D69" s="59"/>
      <c r="E69" s="61"/>
      <c r="F69" s="60"/>
      <c r="G69" s="60"/>
      <c r="H69" s="49"/>
      <c r="I69" s="171"/>
      <c r="J69" s="171"/>
      <c r="K69" s="171"/>
      <c r="L69" s="171"/>
      <c r="M69" s="171"/>
      <c r="N69" s="171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</row>
    <row r="70" spans="1:28" ht="18" customHeight="1">
      <c r="A70" s="50"/>
      <c r="B70" s="49"/>
      <c r="C70" s="58"/>
      <c r="D70" s="59"/>
      <c r="E70" s="61"/>
      <c r="F70" s="60"/>
      <c r="G70" s="60"/>
      <c r="H70" s="49"/>
      <c r="I70" s="187"/>
      <c r="J70" s="171"/>
      <c r="K70" s="171"/>
      <c r="L70" s="171"/>
      <c r="M70" s="171"/>
      <c r="N70" s="171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</row>
    <row r="71" spans="1:28" ht="18" customHeight="1">
      <c r="A71" s="50"/>
      <c r="B71" s="558" t="str">
        <f>'Cash-flow'!C48</f>
        <v>F. Financial costs</v>
      </c>
      <c r="C71" s="595"/>
      <c r="D71" s="595"/>
      <c r="E71" s="595"/>
      <c r="F71" s="596"/>
      <c r="G71" s="49"/>
      <c r="H71" s="49"/>
      <c r="I71" s="171"/>
      <c r="J71" s="171"/>
      <c r="K71" s="171"/>
      <c r="L71" s="171"/>
      <c r="M71" s="171"/>
      <c r="N71" s="171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</row>
    <row r="72" spans="1:28" ht="18" customHeight="1">
      <c r="A72" s="50" t="s">
        <v>137</v>
      </c>
      <c r="B72" s="100"/>
      <c r="C72" s="101" t="s">
        <v>78</v>
      </c>
      <c r="D72" s="66" t="s">
        <v>99</v>
      </c>
      <c r="E72" s="101" t="s">
        <v>100</v>
      </c>
      <c r="F72" s="102"/>
      <c r="G72" s="49"/>
      <c r="H72" s="49"/>
      <c r="I72" s="171"/>
      <c r="J72" s="171"/>
      <c r="K72" s="171"/>
      <c r="L72" s="171"/>
      <c r="M72" s="171"/>
      <c r="N72" s="171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</row>
    <row r="73" spans="1:28" ht="18" customHeight="1">
      <c r="A73" s="50"/>
      <c r="B73" s="104" t="str">
        <f>'Cash-flow'!C49</f>
        <v>Poplatky za zpracování úvěru</v>
      </c>
      <c r="C73" s="105">
        <v>1</v>
      </c>
      <c r="D73" s="106" t="s">
        <v>91</v>
      </c>
      <c r="E73" s="162">
        <v>2E-3</v>
      </c>
      <c r="F73" s="75">
        <f>D83*E73</f>
        <v>204434.50550848001</v>
      </c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</row>
    <row r="74" spans="1:28" ht="18" customHeight="1">
      <c r="A74" s="50"/>
      <c r="B74" s="104" t="s">
        <v>138</v>
      </c>
      <c r="C74" s="105">
        <v>1</v>
      </c>
      <c r="D74" s="106" t="s">
        <v>91</v>
      </c>
      <c r="E74" s="162">
        <v>0</v>
      </c>
      <c r="F74" s="75">
        <f>-'Cash-flow 6.2025'!BY56</f>
        <v>6118749.9999999991</v>
      </c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</row>
    <row r="75" spans="1:28" ht="18" customHeight="1">
      <c r="A75" s="50"/>
      <c r="B75" s="104" t="str">
        <f>'Cash-flow'!C51</f>
        <v>Úrokové náklady</v>
      </c>
      <c r="C75" s="105">
        <v>1</v>
      </c>
      <c r="D75" s="106" t="s">
        <v>139</v>
      </c>
      <c r="E75" s="162">
        <f>'Cash-flow 6.2025'!D61</f>
        <v>5.5E-2</v>
      </c>
      <c r="F75" s="75">
        <f>-'Cash-flow 6.2025'!BY61</f>
        <v>2447500</v>
      </c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</row>
    <row r="76" spans="1:28" ht="18" customHeight="1">
      <c r="A76" s="50"/>
      <c r="B76" s="104" t="str">
        <f>'Cash-flow'!C52</f>
        <v>Bankovní poplatky</v>
      </c>
      <c r="C76" s="105">
        <v>1</v>
      </c>
      <c r="D76" s="495" t="s">
        <v>87</v>
      </c>
      <c r="E76" s="74">
        <v>1000</v>
      </c>
      <c r="F76" s="412">
        <f>E76*R14</f>
        <v>12000</v>
      </c>
      <c r="G76" s="60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</row>
    <row r="77" spans="1:28" ht="18" customHeight="1">
      <c r="A77" s="50"/>
      <c r="B77" s="104" t="str">
        <f>'Cash-flow'!C53</f>
        <v>Daně</v>
      </c>
      <c r="C77" s="417">
        <v>1</v>
      </c>
      <c r="D77" s="495" t="s">
        <v>87</v>
      </c>
      <c r="E77" s="418">
        <v>0</v>
      </c>
      <c r="F77" s="412">
        <f>E77</f>
        <v>0</v>
      </c>
      <c r="G77" s="60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</row>
    <row r="78" spans="1:28" ht="18" customHeight="1">
      <c r="A78" s="50"/>
      <c r="B78" s="94" t="s">
        <v>95</v>
      </c>
      <c r="C78" s="555">
        <f>SUM(F73:F77)</f>
        <v>8782684.5055084787</v>
      </c>
      <c r="D78" s="595"/>
      <c r="E78" s="595"/>
      <c r="F78" s="596"/>
      <c r="G78" s="60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spans="1:28" ht="18" customHeight="1">
      <c r="A79" s="50"/>
      <c r="B79" s="98" t="s">
        <v>97</v>
      </c>
      <c r="C79" s="176"/>
      <c r="D79" s="176"/>
      <c r="E79" s="176"/>
      <c r="F79" s="99">
        <f>C78/$J$19</f>
        <v>2239.338221700275</v>
      </c>
      <c r="G79" s="60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spans="1:28" ht="18" customHeight="1">
      <c r="A80" s="50"/>
      <c r="B80" s="49"/>
      <c r="C80" s="58"/>
      <c r="D80" s="59"/>
      <c r="E80" s="61"/>
      <c r="F80" s="60"/>
      <c r="G80" s="60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spans="1:28" ht="18" customHeight="1">
      <c r="A81" s="50"/>
      <c r="B81" s="49"/>
      <c r="C81" s="58"/>
      <c r="D81" s="59"/>
      <c r="E81" s="61"/>
      <c r="F81" s="60"/>
      <c r="G81" s="60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spans="1:28" ht="18" customHeight="1">
      <c r="A82" s="50"/>
      <c r="B82" s="188" t="s">
        <v>140</v>
      </c>
      <c r="C82" s="189"/>
      <c r="D82" s="190"/>
      <c r="E82" s="191"/>
      <c r="F82" s="192"/>
      <c r="G82" s="60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spans="1:28" ht="18" customHeight="1">
      <c r="A83" s="50"/>
      <c r="B83" s="501" t="s">
        <v>141</v>
      </c>
      <c r="C83" s="193"/>
      <c r="D83" s="502">
        <f>(C14+C23+C40+C48+C67)*C85</f>
        <v>102217252.75424001</v>
      </c>
      <c r="E83" s="60"/>
      <c r="F83" s="49"/>
      <c r="G83" s="60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spans="1:28" ht="18" customHeight="1">
      <c r="A84" s="50"/>
      <c r="B84" s="501" t="s">
        <v>142</v>
      </c>
      <c r="C84" s="193"/>
      <c r="D84" s="502">
        <f>(F73+F75)</f>
        <v>2651934.5055084801</v>
      </c>
      <c r="E84" s="60"/>
      <c r="F84" s="49"/>
      <c r="G84" s="60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spans="1:28" ht="18" customHeight="1">
      <c r="A85" s="50"/>
      <c r="B85" s="503" t="s">
        <v>143</v>
      </c>
      <c r="C85" s="194">
        <v>0.65</v>
      </c>
      <c r="D85" s="504">
        <f>SUM(D83:D84)</f>
        <v>104869187.25974849</v>
      </c>
      <c r="E85" s="60"/>
      <c r="F85" s="49"/>
      <c r="G85" s="60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spans="1:28" ht="18" customHeight="1">
      <c r="A86" s="50"/>
      <c r="B86" s="503" t="s">
        <v>144</v>
      </c>
      <c r="C86" s="194">
        <f>100%-C85</f>
        <v>0.35</v>
      </c>
      <c r="D86" s="505">
        <f>C90-D85</f>
        <v>61170809.175359994</v>
      </c>
      <c r="E86" s="60"/>
      <c r="F86" s="173"/>
      <c r="G86" s="60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spans="1:28" ht="18" customHeight="1">
      <c r="A87" s="50"/>
      <c r="B87" s="195" t="s">
        <v>145</v>
      </c>
      <c r="C87" s="196">
        <v>1</v>
      </c>
      <c r="D87" s="506">
        <f>C90</f>
        <v>166039996.43510848</v>
      </c>
      <c r="E87" s="60"/>
      <c r="F87" s="49"/>
      <c r="G87" s="60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spans="1:28" ht="18" customHeight="1">
      <c r="A88" s="50"/>
      <c r="B88" s="49"/>
      <c r="C88" s="58"/>
      <c r="D88" s="59"/>
      <c r="E88" s="61"/>
      <c r="F88" s="60"/>
      <c r="G88" s="60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</row>
    <row r="89" spans="1:28" ht="18" customHeight="1">
      <c r="A89" s="50"/>
      <c r="B89" s="49"/>
      <c r="C89" s="58"/>
      <c r="D89" s="59"/>
      <c r="E89" s="61"/>
      <c r="F89" s="60"/>
      <c r="G89" s="60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spans="1:28" ht="18" customHeight="1">
      <c r="A90" s="50"/>
      <c r="B90" s="197" t="s">
        <v>146</v>
      </c>
      <c r="C90" s="553">
        <f>C14+C23+C40+C48+C67+C78</f>
        <v>166039996.43510848</v>
      </c>
      <c r="D90" s="595"/>
      <c r="E90" s="595"/>
      <c r="F90" s="596"/>
      <c r="G90" s="60"/>
      <c r="H90" s="49"/>
      <c r="I90" s="49"/>
      <c r="J90" s="58"/>
      <c r="K90" s="58"/>
      <c r="L90" s="59"/>
      <c r="M90" s="61"/>
      <c r="N90" s="60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spans="1:28" ht="18" customHeight="1">
      <c r="A91" s="50"/>
      <c r="B91" s="49"/>
      <c r="C91" s="58"/>
      <c r="D91" s="59"/>
      <c r="E91" s="61"/>
      <c r="F91" s="60"/>
      <c r="G91" s="60"/>
      <c r="H91" s="49"/>
      <c r="I91" s="49"/>
      <c r="J91" s="58"/>
      <c r="K91" s="58"/>
      <c r="L91" s="59"/>
      <c r="M91" s="61"/>
      <c r="N91" s="60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spans="1:28" ht="18" customHeight="1">
      <c r="A92" s="50"/>
      <c r="B92" s="198" t="s">
        <v>147</v>
      </c>
      <c r="C92" s="554">
        <f>C90/$J$19</f>
        <v>42335.542181312718</v>
      </c>
      <c r="D92" s="595"/>
      <c r="E92" s="595"/>
      <c r="F92" s="596"/>
      <c r="G92" s="60"/>
      <c r="H92" s="49"/>
      <c r="I92" s="49"/>
      <c r="J92" s="58"/>
      <c r="K92" s="58"/>
      <c r="L92" s="59"/>
      <c r="M92" s="61"/>
      <c r="N92" s="60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spans="1:28" ht="18" customHeight="1">
      <c r="A93" s="50"/>
      <c r="B93" s="49"/>
      <c r="C93" s="58"/>
      <c r="D93" s="59"/>
      <c r="E93" s="61"/>
      <c r="F93" s="60"/>
      <c r="G93" s="60"/>
      <c r="H93" s="49"/>
      <c r="I93" s="49"/>
      <c r="J93" s="58"/>
      <c r="K93" s="58"/>
      <c r="L93" s="59"/>
      <c r="M93" s="61"/>
      <c r="N93" s="60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</row>
    <row r="94" spans="1:28" ht="18" customHeight="1">
      <c r="A94" s="50"/>
      <c r="B94" s="49"/>
      <c r="C94" s="58"/>
      <c r="D94" s="59"/>
      <c r="E94" s="61"/>
      <c r="F94" s="60"/>
      <c r="G94" s="60"/>
      <c r="H94" s="49"/>
      <c r="I94" s="49"/>
      <c r="J94" s="58"/>
      <c r="K94" s="58"/>
      <c r="L94" s="59"/>
      <c r="M94" s="61"/>
      <c r="N94" s="60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</row>
    <row r="95" spans="1:28" ht="18" customHeight="1">
      <c r="A95" s="50"/>
      <c r="B95" s="49"/>
      <c r="C95" s="58"/>
      <c r="D95" s="59"/>
      <c r="E95" s="61"/>
      <c r="F95" s="60"/>
      <c r="G95" s="60"/>
      <c r="H95" s="49"/>
      <c r="I95" s="49"/>
      <c r="J95" s="58"/>
      <c r="K95" s="58"/>
      <c r="L95" s="59"/>
      <c r="M95" s="61"/>
      <c r="N95" s="60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</row>
    <row r="96" spans="1:28" ht="18" customHeight="1">
      <c r="A96" s="50"/>
      <c r="B96" s="49"/>
      <c r="C96" s="58"/>
      <c r="D96" s="59"/>
      <c r="E96" s="61"/>
      <c r="F96" s="60"/>
      <c r="G96" s="60"/>
      <c r="H96" s="49"/>
      <c r="I96" s="49"/>
      <c r="J96" s="58"/>
      <c r="K96" s="58"/>
      <c r="L96" s="59"/>
      <c r="M96" s="61"/>
      <c r="N96" s="60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</row>
    <row r="97" spans="1:28" ht="18" customHeight="1">
      <c r="A97" s="50"/>
      <c r="B97" s="49"/>
      <c r="C97" s="58"/>
      <c r="D97" s="59"/>
      <c r="E97" s="61"/>
      <c r="F97" s="60"/>
      <c r="G97" s="60"/>
      <c r="H97" s="49"/>
      <c r="I97" s="49"/>
      <c r="J97" s="58"/>
      <c r="K97" s="58"/>
      <c r="L97" s="59"/>
      <c r="M97" s="61"/>
      <c r="N97" s="60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</row>
    <row r="98" spans="1:28" ht="18" customHeight="1">
      <c r="A98" s="50"/>
      <c r="B98" s="49"/>
      <c r="C98" s="58"/>
      <c r="D98" s="59"/>
      <c r="E98" s="61"/>
      <c r="F98" s="60"/>
      <c r="G98" s="60"/>
      <c r="H98" s="49"/>
      <c r="I98" s="49"/>
      <c r="J98" s="58"/>
      <c r="K98" s="58"/>
      <c r="L98" s="59"/>
      <c r="M98" s="61"/>
      <c r="N98" s="60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</row>
    <row r="99" spans="1:28" ht="18" customHeight="1">
      <c r="A99" s="50"/>
      <c r="B99" s="49"/>
      <c r="C99" s="58"/>
      <c r="D99" s="59"/>
      <c r="E99" s="61"/>
      <c r="F99" s="60"/>
      <c r="G99" s="60"/>
      <c r="H99" s="49"/>
      <c r="I99" s="49"/>
      <c r="J99" s="58"/>
      <c r="K99" s="58"/>
      <c r="L99" s="59"/>
      <c r="M99" s="61"/>
      <c r="N99" s="60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</row>
    <row r="100" spans="1:28" ht="18" customHeight="1">
      <c r="A100" s="50"/>
      <c r="B100" s="49"/>
      <c r="C100" s="58"/>
      <c r="D100" s="59"/>
      <c r="E100" s="61"/>
      <c r="F100" s="60"/>
      <c r="G100" s="60"/>
      <c r="H100" s="49"/>
      <c r="I100" s="49"/>
      <c r="J100" s="58"/>
      <c r="K100" s="58"/>
      <c r="L100" s="59"/>
      <c r="M100" s="61"/>
      <c r="N100" s="60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</row>
    <row r="101" spans="1:28" ht="18" customHeight="1">
      <c r="A101" s="50"/>
      <c r="B101" s="49"/>
      <c r="C101" s="58"/>
      <c r="D101" s="59"/>
      <c r="E101" s="61"/>
      <c r="F101" s="60"/>
      <c r="G101" s="60"/>
      <c r="H101" s="49"/>
      <c r="I101" s="49"/>
      <c r="J101" s="58"/>
      <c r="K101" s="58"/>
      <c r="L101" s="59"/>
      <c r="M101" s="61"/>
      <c r="N101" s="60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</row>
    <row r="102" spans="1:28" ht="18" customHeight="1">
      <c r="A102" s="50"/>
      <c r="B102" s="49"/>
      <c r="C102" s="58"/>
      <c r="D102" s="59"/>
      <c r="E102" s="61"/>
      <c r="F102" s="60"/>
      <c r="G102" s="60"/>
      <c r="H102" s="49"/>
      <c r="I102" s="49"/>
      <c r="J102" s="58"/>
      <c r="K102" s="58"/>
      <c r="L102" s="59"/>
      <c r="M102" s="61"/>
      <c r="N102" s="60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</row>
    <row r="103" spans="1:28" ht="18" customHeight="1">
      <c r="A103" s="50"/>
      <c r="B103" s="49"/>
      <c r="C103" s="58"/>
      <c r="D103" s="59"/>
      <c r="E103" s="61"/>
      <c r="F103" s="60"/>
      <c r="G103" s="60"/>
      <c r="H103" s="49"/>
      <c r="I103" s="49"/>
      <c r="J103" s="58"/>
      <c r="K103" s="58"/>
      <c r="L103" s="59"/>
      <c r="M103" s="61"/>
      <c r="N103" s="60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</row>
    <row r="104" spans="1:28" ht="18" customHeight="1">
      <c r="A104" s="50"/>
      <c r="B104" s="49"/>
      <c r="C104" s="58"/>
      <c r="D104" s="59"/>
      <c r="E104" s="61"/>
      <c r="F104" s="60"/>
      <c r="G104" s="60"/>
      <c r="H104" s="49"/>
      <c r="I104" s="49"/>
      <c r="J104" s="58"/>
      <c r="K104" s="58"/>
      <c r="L104" s="59"/>
      <c r="M104" s="61"/>
      <c r="N104" s="60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</row>
    <row r="105" spans="1:28" ht="18" customHeight="1">
      <c r="A105" s="50"/>
      <c r="B105" s="49"/>
      <c r="C105" s="58"/>
      <c r="D105" s="59"/>
      <c r="E105" s="61"/>
      <c r="F105" s="60"/>
      <c r="G105" s="60"/>
      <c r="H105" s="49"/>
      <c r="I105" s="49"/>
      <c r="J105" s="58"/>
      <c r="K105" s="58"/>
      <c r="L105" s="59"/>
      <c r="M105" s="61"/>
      <c r="N105" s="60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</row>
    <row r="106" spans="1:28" ht="18" customHeight="1">
      <c r="A106" s="50"/>
      <c r="B106" s="49"/>
      <c r="C106" s="58"/>
      <c r="D106" s="59"/>
      <c r="E106" s="61"/>
      <c r="F106" s="60"/>
      <c r="G106" s="60"/>
      <c r="H106" s="49"/>
      <c r="I106" s="49"/>
      <c r="J106" s="58"/>
      <c r="K106" s="58"/>
      <c r="L106" s="59"/>
      <c r="M106" s="61"/>
      <c r="N106" s="60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</row>
    <row r="107" spans="1:28" ht="18" customHeight="1">
      <c r="A107" s="50"/>
      <c r="B107" s="49"/>
      <c r="C107" s="58"/>
      <c r="D107" s="59"/>
      <c r="E107" s="61"/>
      <c r="F107" s="60"/>
      <c r="G107" s="60"/>
      <c r="H107" s="49"/>
      <c r="I107" s="49"/>
      <c r="J107" s="58"/>
      <c r="K107" s="58"/>
      <c r="L107" s="59"/>
      <c r="M107" s="61"/>
      <c r="N107" s="60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</row>
    <row r="108" spans="1:28" ht="18" customHeight="1">
      <c r="A108" s="50"/>
      <c r="B108" s="49"/>
      <c r="C108" s="58"/>
      <c r="D108" s="59"/>
      <c r="E108" s="61"/>
      <c r="F108" s="60"/>
      <c r="G108" s="60"/>
      <c r="H108" s="49"/>
      <c r="I108" s="49"/>
      <c r="J108" s="58"/>
      <c r="K108" s="58"/>
      <c r="L108" s="59"/>
      <c r="M108" s="61"/>
      <c r="N108" s="60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</row>
    <row r="109" spans="1:28" ht="18" customHeight="1">
      <c r="A109" s="50"/>
      <c r="B109" s="49"/>
      <c r="C109" s="58"/>
      <c r="D109" s="59"/>
      <c r="E109" s="61"/>
      <c r="F109" s="60"/>
      <c r="G109" s="60"/>
      <c r="H109" s="49"/>
      <c r="I109" s="49"/>
      <c r="J109" s="58"/>
      <c r="K109" s="58"/>
      <c r="L109" s="59"/>
      <c r="M109" s="61"/>
      <c r="N109" s="60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</row>
    <row r="110" spans="1:28" ht="18" customHeight="1">
      <c r="A110" s="50"/>
      <c r="B110" s="49"/>
      <c r="C110" s="58"/>
      <c r="D110" s="59"/>
      <c r="E110" s="61"/>
      <c r="F110" s="60"/>
      <c r="G110" s="60"/>
      <c r="H110" s="49"/>
      <c r="I110" s="49"/>
      <c r="J110" s="58"/>
      <c r="K110" s="58"/>
      <c r="L110" s="59"/>
      <c r="M110" s="61"/>
      <c r="N110" s="60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</row>
    <row r="111" spans="1:28" ht="18" customHeight="1">
      <c r="A111" s="50"/>
      <c r="B111" s="49"/>
      <c r="C111" s="58"/>
      <c r="D111" s="59"/>
      <c r="E111" s="61"/>
      <c r="F111" s="60"/>
      <c r="G111" s="60"/>
      <c r="H111" s="49"/>
      <c r="I111" s="49"/>
      <c r="J111" s="58"/>
      <c r="K111" s="58"/>
      <c r="L111" s="59"/>
      <c r="M111" s="61"/>
      <c r="N111" s="60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</row>
    <row r="112" spans="1:28" ht="18" customHeight="1">
      <c r="A112" s="50"/>
      <c r="B112" s="49"/>
      <c r="C112" s="58"/>
      <c r="D112" s="59"/>
      <c r="E112" s="61"/>
      <c r="F112" s="60"/>
      <c r="G112" s="60"/>
      <c r="H112" s="49"/>
      <c r="I112" s="49"/>
      <c r="J112" s="58"/>
      <c r="K112" s="58"/>
      <c r="L112" s="59"/>
      <c r="M112" s="61"/>
      <c r="N112" s="60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</row>
    <row r="113" spans="1:28" ht="18" customHeight="1">
      <c r="A113" s="50"/>
      <c r="B113" s="49"/>
      <c r="C113" s="58"/>
      <c r="D113" s="59"/>
      <c r="E113" s="61"/>
      <c r="F113" s="60"/>
      <c r="G113" s="60"/>
      <c r="H113" s="49"/>
      <c r="I113" s="49"/>
      <c r="J113" s="58"/>
      <c r="K113" s="58"/>
      <c r="L113" s="59"/>
      <c r="M113" s="61"/>
      <c r="N113" s="60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</row>
    <row r="114" spans="1:28" ht="18" customHeight="1">
      <c r="A114" s="50"/>
      <c r="B114" s="49"/>
      <c r="C114" s="58"/>
      <c r="D114" s="59"/>
      <c r="E114" s="61"/>
      <c r="F114" s="60"/>
      <c r="G114" s="60"/>
      <c r="H114" s="49"/>
      <c r="I114" s="49"/>
      <c r="J114" s="58"/>
      <c r="K114" s="58"/>
      <c r="L114" s="59"/>
      <c r="M114" s="61"/>
      <c r="N114" s="60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</row>
    <row r="115" spans="1:28" ht="18" customHeight="1">
      <c r="A115" s="50"/>
      <c r="B115" s="49"/>
      <c r="C115" s="58"/>
      <c r="D115" s="59"/>
      <c r="E115" s="61"/>
      <c r="F115" s="60"/>
      <c r="G115" s="60"/>
      <c r="H115" s="49"/>
      <c r="I115" s="49"/>
      <c r="J115" s="58"/>
      <c r="K115" s="58"/>
      <c r="L115" s="59"/>
      <c r="M115" s="61"/>
      <c r="N115" s="60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</row>
    <row r="116" spans="1:28" ht="18" customHeight="1">
      <c r="A116" s="50"/>
      <c r="B116" s="49"/>
      <c r="C116" s="58"/>
      <c r="D116" s="59"/>
      <c r="E116" s="61"/>
      <c r="F116" s="60"/>
      <c r="G116" s="60"/>
      <c r="H116" s="49"/>
      <c r="I116" s="49"/>
      <c r="J116" s="58"/>
      <c r="K116" s="58"/>
      <c r="L116" s="59"/>
      <c r="M116" s="61"/>
      <c r="N116" s="60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</row>
    <row r="117" spans="1:28" ht="18" customHeight="1">
      <c r="A117" s="50"/>
      <c r="B117" s="49"/>
      <c r="C117" s="58"/>
      <c r="D117" s="59"/>
      <c r="E117" s="61"/>
      <c r="F117" s="60"/>
      <c r="G117" s="60"/>
      <c r="H117" s="49"/>
      <c r="I117" s="49"/>
      <c r="J117" s="58"/>
      <c r="K117" s="58"/>
      <c r="L117" s="59"/>
      <c r="M117" s="61"/>
      <c r="N117" s="60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</row>
    <row r="118" spans="1:28" ht="18" customHeight="1">
      <c r="A118" s="50"/>
      <c r="B118" s="49"/>
      <c r="C118" s="58"/>
      <c r="D118" s="59"/>
      <c r="E118" s="61"/>
      <c r="F118" s="60"/>
      <c r="G118" s="60"/>
      <c r="H118" s="49"/>
      <c r="I118" s="49"/>
      <c r="J118" s="58"/>
      <c r="K118" s="58"/>
      <c r="L118" s="59"/>
      <c r="M118" s="61"/>
      <c r="N118" s="60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</row>
    <row r="119" spans="1:28" ht="18" customHeight="1">
      <c r="A119" s="50"/>
      <c r="B119" s="49"/>
      <c r="C119" s="58"/>
      <c r="D119" s="59"/>
      <c r="E119" s="61"/>
      <c r="F119" s="60"/>
      <c r="G119" s="60"/>
      <c r="H119" s="49"/>
      <c r="I119" s="49"/>
      <c r="J119" s="58"/>
      <c r="K119" s="58"/>
      <c r="L119" s="59"/>
      <c r="M119" s="61"/>
      <c r="N119" s="60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</row>
    <row r="120" spans="1:28" ht="18" customHeight="1">
      <c r="A120" s="50"/>
      <c r="B120" s="49"/>
      <c r="C120" s="58"/>
      <c r="D120" s="59"/>
      <c r="E120" s="61"/>
      <c r="F120" s="60"/>
      <c r="G120" s="60"/>
      <c r="H120" s="49"/>
      <c r="I120" s="49"/>
      <c r="J120" s="58"/>
      <c r="K120" s="58"/>
      <c r="L120" s="59"/>
      <c r="M120" s="61"/>
      <c r="N120" s="60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</row>
    <row r="121" spans="1:28" ht="18" customHeight="1">
      <c r="A121" s="50"/>
      <c r="B121" s="49"/>
      <c r="C121" s="58"/>
      <c r="D121" s="59"/>
      <c r="E121" s="61"/>
      <c r="F121" s="60"/>
      <c r="G121" s="60"/>
      <c r="H121" s="49"/>
      <c r="I121" s="49"/>
      <c r="J121" s="58"/>
      <c r="K121" s="58"/>
      <c r="L121" s="59"/>
      <c r="M121" s="61"/>
      <c r="N121" s="60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</row>
    <row r="122" spans="1:28" ht="18" customHeight="1">
      <c r="A122" s="50"/>
      <c r="B122" s="49"/>
      <c r="C122" s="58"/>
      <c r="D122" s="59"/>
      <c r="E122" s="61"/>
      <c r="F122" s="60"/>
      <c r="G122" s="60"/>
      <c r="H122" s="49"/>
      <c r="I122" s="49"/>
      <c r="J122" s="58"/>
      <c r="K122" s="58"/>
      <c r="L122" s="59"/>
      <c r="M122" s="61"/>
      <c r="N122" s="60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</row>
    <row r="123" spans="1:28" ht="18" customHeight="1">
      <c r="A123" s="50"/>
      <c r="B123" s="49"/>
      <c r="C123" s="58"/>
      <c r="D123" s="59"/>
      <c r="E123" s="61"/>
      <c r="F123" s="60"/>
      <c r="G123" s="60"/>
      <c r="H123" s="49"/>
      <c r="I123" s="49"/>
      <c r="J123" s="58"/>
      <c r="K123" s="58"/>
      <c r="L123" s="59"/>
      <c r="M123" s="61"/>
      <c r="N123" s="60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</row>
    <row r="124" spans="1:28" ht="18" customHeight="1">
      <c r="A124" s="50"/>
      <c r="B124" s="49"/>
      <c r="C124" s="58"/>
      <c r="D124" s="59"/>
      <c r="E124" s="61"/>
      <c r="F124" s="60"/>
      <c r="G124" s="60"/>
      <c r="H124" s="49"/>
      <c r="I124" s="49"/>
      <c r="J124" s="58"/>
      <c r="K124" s="58"/>
      <c r="L124" s="59"/>
      <c r="M124" s="61"/>
      <c r="N124" s="60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</row>
    <row r="125" spans="1:28" ht="18" customHeight="1">
      <c r="A125" s="50"/>
      <c r="B125" s="49"/>
      <c r="C125" s="58"/>
      <c r="D125" s="59"/>
      <c r="E125" s="61"/>
      <c r="F125" s="60"/>
      <c r="G125" s="60"/>
      <c r="H125" s="49"/>
      <c r="I125" s="49"/>
      <c r="J125" s="58"/>
      <c r="K125" s="58"/>
      <c r="L125" s="59"/>
      <c r="M125" s="61"/>
      <c r="N125" s="60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</row>
    <row r="126" spans="1:28" ht="18" customHeight="1">
      <c r="A126" s="50"/>
      <c r="B126" s="49"/>
      <c r="C126" s="58"/>
      <c r="D126" s="59"/>
      <c r="E126" s="61"/>
      <c r="F126" s="60"/>
      <c r="G126" s="60"/>
      <c r="H126" s="49"/>
      <c r="I126" s="49"/>
      <c r="J126" s="58"/>
      <c r="K126" s="58"/>
      <c r="L126" s="59"/>
      <c r="M126" s="61"/>
      <c r="N126" s="60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</row>
    <row r="127" spans="1:28" ht="18" customHeight="1">
      <c r="A127" s="50"/>
      <c r="B127" s="49"/>
      <c r="C127" s="58"/>
      <c r="D127" s="59"/>
      <c r="E127" s="61"/>
      <c r="F127" s="60"/>
      <c r="G127" s="60"/>
      <c r="H127" s="49"/>
      <c r="I127" s="49"/>
      <c r="J127" s="58"/>
      <c r="K127" s="58"/>
      <c r="L127" s="59"/>
      <c r="M127" s="61"/>
      <c r="N127" s="60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</row>
    <row r="128" spans="1:28" ht="18" customHeight="1">
      <c r="A128" s="50"/>
      <c r="B128" s="49"/>
      <c r="C128" s="58"/>
      <c r="D128" s="59"/>
      <c r="E128" s="61"/>
      <c r="F128" s="60"/>
      <c r="G128" s="60"/>
      <c r="H128" s="49"/>
      <c r="I128" s="49"/>
      <c r="J128" s="58"/>
      <c r="K128" s="58"/>
      <c r="L128" s="59"/>
      <c r="M128" s="61"/>
      <c r="N128" s="60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</row>
    <row r="129" spans="1:28" ht="18" customHeight="1">
      <c r="A129" s="50"/>
      <c r="B129" s="49"/>
      <c r="C129" s="58"/>
      <c r="D129" s="59"/>
      <c r="E129" s="61"/>
      <c r="F129" s="60"/>
      <c r="G129" s="60"/>
      <c r="H129" s="49"/>
      <c r="I129" s="49"/>
      <c r="J129" s="58"/>
      <c r="K129" s="58"/>
      <c r="L129" s="59"/>
      <c r="M129" s="61"/>
      <c r="N129" s="60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</row>
    <row r="130" spans="1:28" ht="18" customHeight="1">
      <c r="A130" s="50"/>
      <c r="B130" s="49"/>
      <c r="C130" s="58"/>
      <c r="D130" s="59"/>
      <c r="E130" s="61"/>
      <c r="F130" s="60"/>
      <c r="G130" s="60"/>
      <c r="H130" s="49"/>
      <c r="I130" s="49"/>
      <c r="J130" s="58"/>
      <c r="K130" s="58"/>
      <c r="L130" s="59"/>
      <c r="M130" s="61"/>
      <c r="N130" s="60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</row>
    <row r="131" spans="1:28" ht="18" customHeight="1">
      <c r="A131" s="50"/>
      <c r="B131" s="49"/>
      <c r="C131" s="58"/>
      <c r="D131" s="59"/>
      <c r="E131" s="61"/>
      <c r="F131" s="60"/>
      <c r="G131" s="60"/>
      <c r="H131" s="49"/>
      <c r="I131" s="49"/>
      <c r="J131" s="58"/>
      <c r="K131" s="58"/>
      <c r="L131" s="59"/>
      <c r="M131" s="61"/>
      <c r="N131" s="60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</row>
    <row r="132" spans="1:28" ht="18" customHeight="1">
      <c r="A132" s="50"/>
      <c r="B132" s="49"/>
      <c r="C132" s="58"/>
      <c r="D132" s="59"/>
      <c r="E132" s="61"/>
      <c r="F132" s="60"/>
      <c r="G132" s="60"/>
      <c r="H132" s="49"/>
      <c r="I132" s="49"/>
      <c r="J132" s="58"/>
      <c r="K132" s="58"/>
      <c r="L132" s="59"/>
      <c r="M132" s="61"/>
      <c r="N132" s="60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</row>
    <row r="133" spans="1:28" ht="18" customHeight="1">
      <c r="A133" s="50"/>
      <c r="B133" s="49"/>
      <c r="C133" s="58"/>
      <c r="D133" s="59"/>
      <c r="E133" s="61"/>
      <c r="F133" s="60"/>
      <c r="G133" s="60"/>
      <c r="H133" s="49"/>
      <c r="I133" s="49"/>
      <c r="J133" s="58"/>
      <c r="K133" s="58"/>
      <c r="L133" s="59"/>
      <c r="M133" s="61"/>
      <c r="N133" s="60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</row>
    <row r="134" spans="1:28" ht="18" customHeight="1">
      <c r="A134" s="50"/>
      <c r="B134" s="49"/>
      <c r="C134" s="58"/>
      <c r="D134" s="59"/>
      <c r="E134" s="61"/>
      <c r="F134" s="60"/>
      <c r="G134" s="60"/>
      <c r="H134" s="49"/>
      <c r="I134" s="49"/>
      <c r="J134" s="58"/>
      <c r="K134" s="58"/>
      <c r="L134" s="59"/>
      <c r="M134" s="61"/>
      <c r="N134" s="60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</row>
    <row r="135" spans="1:28" ht="18" customHeight="1">
      <c r="A135" s="50"/>
      <c r="B135" s="49"/>
      <c r="C135" s="58"/>
      <c r="D135" s="59"/>
      <c r="E135" s="61"/>
      <c r="F135" s="60"/>
      <c r="G135" s="60"/>
      <c r="H135" s="49"/>
      <c r="I135" s="49"/>
      <c r="J135" s="58"/>
      <c r="K135" s="58"/>
      <c r="L135" s="59"/>
      <c r="M135" s="61"/>
      <c r="N135" s="60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</row>
    <row r="136" spans="1:28" ht="18" customHeight="1">
      <c r="A136" s="50"/>
      <c r="B136" s="49"/>
      <c r="C136" s="58"/>
      <c r="D136" s="59"/>
      <c r="E136" s="61"/>
      <c r="F136" s="60"/>
      <c r="G136" s="60"/>
      <c r="H136" s="49"/>
      <c r="I136" s="49"/>
      <c r="J136" s="58"/>
      <c r="K136" s="58"/>
      <c r="L136" s="59"/>
      <c r="M136" s="61"/>
      <c r="N136" s="60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</row>
    <row r="137" spans="1:28" ht="18" customHeight="1">
      <c r="A137" s="50"/>
      <c r="B137" s="49"/>
      <c r="C137" s="58"/>
      <c r="D137" s="59"/>
      <c r="E137" s="61"/>
      <c r="F137" s="60"/>
      <c r="G137" s="60"/>
      <c r="H137" s="49"/>
      <c r="I137" s="49"/>
      <c r="J137" s="58"/>
      <c r="K137" s="58"/>
      <c r="L137" s="59"/>
      <c r="M137" s="61"/>
      <c r="N137" s="60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</row>
    <row r="138" spans="1:28" ht="18" customHeight="1">
      <c r="A138" s="50"/>
      <c r="B138" s="49"/>
      <c r="C138" s="58"/>
      <c r="D138" s="59"/>
      <c r="E138" s="61"/>
      <c r="F138" s="60"/>
      <c r="G138" s="60"/>
      <c r="H138" s="49"/>
      <c r="I138" s="49"/>
      <c r="J138" s="58"/>
      <c r="K138" s="58"/>
      <c r="L138" s="59"/>
      <c r="M138" s="61"/>
      <c r="N138" s="60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</row>
    <row r="139" spans="1:28" ht="18" customHeight="1">
      <c r="A139" s="50"/>
      <c r="B139" s="49"/>
      <c r="C139" s="58"/>
      <c r="D139" s="59"/>
      <c r="E139" s="61"/>
      <c r="F139" s="60"/>
      <c r="G139" s="60"/>
      <c r="H139" s="49"/>
      <c r="I139" s="49"/>
      <c r="J139" s="58"/>
      <c r="K139" s="58"/>
      <c r="L139" s="59"/>
      <c r="M139" s="61"/>
      <c r="N139" s="60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</row>
    <row r="140" spans="1:28" ht="18" customHeight="1">
      <c r="A140" s="50"/>
      <c r="B140" s="49"/>
      <c r="C140" s="58"/>
      <c r="D140" s="59"/>
      <c r="E140" s="61"/>
      <c r="F140" s="60"/>
      <c r="G140" s="60"/>
      <c r="H140" s="49"/>
      <c r="I140" s="49"/>
      <c r="J140" s="58"/>
      <c r="K140" s="58"/>
      <c r="L140" s="59"/>
      <c r="M140" s="61"/>
      <c r="N140" s="60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</row>
    <row r="141" spans="1:28" ht="18" customHeight="1">
      <c r="A141" s="50"/>
      <c r="B141" s="49"/>
      <c r="C141" s="58"/>
      <c r="D141" s="59"/>
      <c r="E141" s="61"/>
      <c r="F141" s="60"/>
      <c r="G141" s="60"/>
      <c r="H141" s="49"/>
      <c r="I141" s="49"/>
      <c r="J141" s="58"/>
      <c r="K141" s="58"/>
      <c r="L141" s="59"/>
      <c r="M141" s="61"/>
      <c r="N141" s="60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</row>
    <row r="142" spans="1:28" ht="18" customHeight="1">
      <c r="A142" s="50"/>
      <c r="B142" s="49"/>
      <c r="C142" s="58"/>
      <c r="D142" s="59"/>
      <c r="E142" s="61"/>
      <c r="F142" s="60"/>
      <c r="G142" s="60"/>
      <c r="H142" s="49"/>
      <c r="I142" s="49"/>
      <c r="J142" s="58"/>
      <c r="K142" s="58"/>
      <c r="L142" s="59"/>
      <c r="M142" s="61"/>
      <c r="N142" s="60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</row>
    <row r="143" spans="1:28" ht="18" customHeight="1">
      <c r="A143" s="50"/>
      <c r="B143" s="49"/>
      <c r="C143" s="58"/>
      <c r="D143" s="59"/>
      <c r="E143" s="61"/>
      <c r="F143" s="60"/>
      <c r="G143" s="60"/>
      <c r="H143" s="49"/>
      <c r="I143" s="49"/>
      <c r="J143" s="58"/>
      <c r="K143" s="58"/>
      <c r="L143" s="59"/>
      <c r="M143" s="61"/>
      <c r="N143" s="60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</row>
    <row r="144" spans="1:28" ht="18" customHeight="1">
      <c r="A144" s="50"/>
      <c r="B144" s="49"/>
      <c r="C144" s="58"/>
      <c r="D144" s="59"/>
      <c r="E144" s="61"/>
      <c r="F144" s="60"/>
      <c r="G144" s="60"/>
      <c r="H144" s="49"/>
      <c r="I144" s="49"/>
      <c r="J144" s="58"/>
      <c r="K144" s="58"/>
      <c r="L144" s="59"/>
      <c r="M144" s="61"/>
      <c r="N144" s="60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</row>
    <row r="145" spans="1:28" ht="18" customHeight="1">
      <c r="A145" s="50"/>
      <c r="B145" s="49"/>
      <c r="C145" s="58"/>
      <c r="D145" s="59"/>
      <c r="E145" s="61"/>
      <c r="F145" s="60"/>
      <c r="G145" s="60"/>
      <c r="H145" s="49"/>
      <c r="I145" s="49"/>
      <c r="J145" s="58"/>
      <c r="K145" s="58"/>
      <c r="L145" s="59"/>
      <c r="M145" s="61"/>
      <c r="N145" s="60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</row>
    <row r="146" spans="1:28" ht="18" customHeight="1">
      <c r="A146" s="50"/>
      <c r="B146" s="49"/>
      <c r="C146" s="58"/>
      <c r="D146" s="59"/>
      <c r="E146" s="61"/>
      <c r="F146" s="60"/>
      <c r="G146" s="60"/>
      <c r="H146" s="49"/>
      <c r="I146" s="49"/>
      <c r="J146" s="58"/>
      <c r="K146" s="58"/>
      <c r="L146" s="59"/>
      <c r="M146" s="61"/>
      <c r="N146" s="60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</row>
    <row r="147" spans="1:28" ht="18" customHeight="1">
      <c r="A147" s="50"/>
      <c r="B147" s="49"/>
      <c r="C147" s="58"/>
      <c r="D147" s="59"/>
      <c r="E147" s="61"/>
      <c r="F147" s="60"/>
      <c r="G147" s="60"/>
      <c r="H147" s="49"/>
      <c r="I147" s="49"/>
      <c r="J147" s="58"/>
      <c r="K147" s="58"/>
      <c r="L147" s="59"/>
      <c r="M147" s="61"/>
      <c r="N147" s="60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</row>
    <row r="148" spans="1:28" ht="18" customHeight="1">
      <c r="A148" s="50"/>
      <c r="B148" s="49"/>
      <c r="C148" s="58"/>
      <c r="D148" s="59"/>
      <c r="E148" s="61"/>
      <c r="F148" s="60"/>
      <c r="G148" s="60"/>
      <c r="H148" s="49"/>
      <c r="I148" s="49"/>
      <c r="J148" s="58"/>
      <c r="K148" s="58"/>
      <c r="L148" s="59"/>
      <c r="M148" s="61"/>
      <c r="N148" s="60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</row>
    <row r="149" spans="1:28" ht="18" customHeight="1">
      <c r="A149" s="50"/>
      <c r="B149" s="49"/>
      <c r="C149" s="58"/>
      <c r="D149" s="59"/>
      <c r="E149" s="61"/>
      <c r="F149" s="60"/>
      <c r="G149" s="60"/>
      <c r="H149" s="49"/>
      <c r="I149" s="49"/>
      <c r="J149" s="58"/>
      <c r="K149" s="58"/>
      <c r="L149" s="59"/>
      <c r="M149" s="61"/>
      <c r="N149" s="60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</row>
    <row r="150" spans="1:28" ht="18" customHeight="1">
      <c r="A150" s="50"/>
      <c r="B150" s="49"/>
      <c r="C150" s="58"/>
      <c r="D150" s="59"/>
      <c r="E150" s="61"/>
      <c r="F150" s="60"/>
      <c r="G150" s="60"/>
      <c r="H150" s="49"/>
      <c r="I150" s="49"/>
      <c r="J150" s="58"/>
      <c r="K150" s="58"/>
      <c r="L150" s="59"/>
      <c r="M150" s="61"/>
      <c r="N150" s="60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</row>
    <row r="151" spans="1:28" ht="18" customHeight="1">
      <c r="A151" s="50"/>
      <c r="B151" s="49"/>
      <c r="C151" s="58"/>
      <c r="D151" s="59"/>
      <c r="E151" s="61"/>
      <c r="F151" s="60"/>
      <c r="G151" s="60"/>
      <c r="H151" s="49"/>
      <c r="I151" s="49"/>
      <c r="J151" s="58"/>
      <c r="K151" s="58"/>
      <c r="L151" s="59"/>
      <c r="M151" s="61"/>
      <c r="N151" s="60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</row>
    <row r="152" spans="1:28" ht="18" customHeight="1">
      <c r="A152" s="50"/>
      <c r="B152" s="49"/>
      <c r="C152" s="58"/>
      <c r="D152" s="59"/>
      <c r="E152" s="61"/>
      <c r="F152" s="60"/>
      <c r="G152" s="60"/>
      <c r="H152" s="49"/>
      <c r="I152" s="49"/>
      <c r="J152" s="58"/>
      <c r="K152" s="58"/>
      <c r="L152" s="59"/>
      <c r="M152" s="61"/>
      <c r="N152" s="60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</row>
    <row r="153" spans="1:28" ht="18" customHeight="1">
      <c r="A153" s="50"/>
      <c r="B153" s="49"/>
      <c r="C153" s="58"/>
      <c r="D153" s="59"/>
      <c r="E153" s="61"/>
      <c r="F153" s="60"/>
      <c r="G153" s="60"/>
      <c r="H153" s="49"/>
      <c r="I153" s="49"/>
      <c r="J153" s="58"/>
      <c r="K153" s="58"/>
      <c r="L153" s="59"/>
      <c r="M153" s="61"/>
      <c r="N153" s="60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</row>
    <row r="154" spans="1:28" ht="18" customHeight="1">
      <c r="A154" s="50"/>
      <c r="B154" s="49"/>
      <c r="C154" s="58"/>
      <c r="D154" s="59"/>
      <c r="E154" s="61"/>
      <c r="F154" s="60"/>
      <c r="G154" s="60"/>
      <c r="H154" s="49"/>
      <c r="I154" s="49"/>
      <c r="J154" s="58"/>
      <c r="K154" s="58"/>
      <c r="L154" s="59"/>
      <c r="M154" s="61"/>
      <c r="N154" s="60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</row>
    <row r="155" spans="1:28" ht="18" customHeight="1">
      <c r="A155" s="50"/>
      <c r="B155" s="49"/>
      <c r="C155" s="58"/>
      <c r="D155" s="59"/>
      <c r="E155" s="61"/>
      <c r="F155" s="60"/>
      <c r="G155" s="60"/>
      <c r="H155" s="49"/>
      <c r="I155" s="49"/>
      <c r="J155" s="58"/>
      <c r="K155" s="58"/>
      <c r="L155" s="59"/>
      <c r="M155" s="61"/>
      <c r="N155" s="60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</row>
    <row r="156" spans="1:28" ht="18" customHeight="1">
      <c r="A156" s="50"/>
      <c r="B156" s="49"/>
      <c r="C156" s="58"/>
      <c r="D156" s="59"/>
      <c r="E156" s="61"/>
      <c r="F156" s="60"/>
      <c r="G156" s="60"/>
      <c r="H156" s="49"/>
      <c r="I156" s="49"/>
      <c r="J156" s="58"/>
      <c r="K156" s="58"/>
      <c r="L156" s="59"/>
      <c r="M156" s="61"/>
      <c r="N156" s="60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</row>
    <row r="157" spans="1:28" ht="18" customHeight="1">
      <c r="A157" s="50"/>
      <c r="B157" s="49"/>
      <c r="C157" s="58"/>
      <c r="D157" s="59"/>
      <c r="E157" s="61"/>
      <c r="F157" s="60"/>
      <c r="G157" s="60"/>
      <c r="H157" s="49"/>
      <c r="I157" s="49"/>
      <c r="J157" s="58"/>
      <c r="K157" s="58"/>
      <c r="L157" s="59"/>
      <c r="M157" s="61"/>
      <c r="N157" s="60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</row>
    <row r="158" spans="1:28" ht="18" customHeight="1">
      <c r="A158" s="50"/>
      <c r="B158" s="49"/>
      <c r="C158" s="58"/>
      <c r="D158" s="59"/>
      <c r="E158" s="61"/>
      <c r="F158" s="60"/>
      <c r="G158" s="60"/>
      <c r="H158" s="49"/>
      <c r="I158" s="49"/>
      <c r="J158" s="58"/>
      <c r="K158" s="58"/>
      <c r="L158" s="59"/>
      <c r="M158" s="61"/>
      <c r="N158" s="60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</row>
    <row r="159" spans="1:28" ht="18" customHeight="1">
      <c r="A159" s="50"/>
      <c r="B159" s="49"/>
      <c r="C159" s="58"/>
      <c r="D159" s="59"/>
      <c r="E159" s="61"/>
      <c r="F159" s="60"/>
      <c r="G159" s="60"/>
      <c r="H159" s="49"/>
      <c r="I159" s="49"/>
      <c r="J159" s="58"/>
      <c r="K159" s="58"/>
      <c r="L159" s="59"/>
      <c r="M159" s="61"/>
      <c r="N159" s="60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</row>
    <row r="160" spans="1:28" ht="18" customHeight="1">
      <c r="A160" s="50"/>
      <c r="B160" s="49"/>
      <c r="C160" s="58"/>
      <c r="D160" s="59"/>
      <c r="E160" s="61"/>
      <c r="F160" s="60"/>
      <c r="G160" s="60"/>
      <c r="H160" s="49"/>
      <c r="I160" s="49"/>
      <c r="J160" s="58"/>
      <c r="K160" s="58"/>
      <c r="L160" s="59"/>
      <c r="M160" s="61"/>
      <c r="N160" s="60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</row>
    <row r="161" spans="1:28" ht="18" customHeight="1">
      <c r="A161" s="50"/>
      <c r="B161" s="49"/>
      <c r="C161" s="58"/>
      <c r="D161" s="59"/>
      <c r="E161" s="61"/>
      <c r="F161" s="60"/>
      <c r="G161" s="60"/>
      <c r="H161" s="49"/>
      <c r="I161" s="49"/>
      <c r="J161" s="58"/>
      <c r="K161" s="58"/>
      <c r="L161" s="59"/>
      <c r="M161" s="61"/>
      <c r="N161" s="60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</row>
    <row r="162" spans="1:28" ht="18" customHeight="1">
      <c r="A162" s="50"/>
      <c r="B162" s="49"/>
      <c r="C162" s="58"/>
      <c r="D162" s="59"/>
      <c r="E162" s="61"/>
      <c r="F162" s="60"/>
      <c r="G162" s="60"/>
      <c r="H162" s="49"/>
      <c r="I162" s="49"/>
      <c r="J162" s="58"/>
      <c r="K162" s="58"/>
      <c r="L162" s="59"/>
      <c r="M162" s="61"/>
      <c r="N162" s="60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</row>
    <row r="163" spans="1:28" ht="18" customHeight="1">
      <c r="A163" s="50"/>
      <c r="B163" s="49"/>
      <c r="C163" s="58"/>
      <c r="D163" s="59"/>
      <c r="E163" s="61"/>
      <c r="F163" s="60"/>
      <c r="G163" s="60"/>
      <c r="H163" s="49"/>
      <c r="I163" s="49"/>
      <c r="J163" s="58"/>
      <c r="K163" s="58"/>
      <c r="L163" s="59"/>
      <c r="M163" s="61"/>
      <c r="N163" s="60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</row>
    <row r="164" spans="1:28" ht="18" customHeight="1">
      <c r="A164" s="50"/>
      <c r="B164" s="49"/>
      <c r="C164" s="58"/>
      <c r="D164" s="59"/>
      <c r="E164" s="61"/>
      <c r="F164" s="60"/>
      <c r="G164" s="60"/>
      <c r="H164" s="49"/>
      <c r="I164" s="49"/>
      <c r="J164" s="58"/>
      <c r="K164" s="58"/>
      <c r="L164" s="59"/>
      <c r="M164" s="61"/>
      <c r="N164" s="60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</row>
    <row r="165" spans="1:28" ht="18" customHeight="1">
      <c r="A165" s="50"/>
      <c r="B165" s="49"/>
      <c r="C165" s="58"/>
      <c r="D165" s="59"/>
      <c r="E165" s="61"/>
      <c r="F165" s="60"/>
      <c r="G165" s="60"/>
      <c r="H165" s="49"/>
      <c r="I165" s="49"/>
      <c r="J165" s="58"/>
      <c r="K165" s="58"/>
      <c r="L165" s="59"/>
      <c r="M165" s="61"/>
      <c r="N165" s="60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</row>
    <row r="166" spans="1:28" ht="18" customHeight="1">
      <c r="A166" s="50"/>
      <c r="B166" s="49"/>
      <c r="C166" s="58"/>
      <c r="D166" s="59"/>
      <c r="E166" s="61"/>
      <c r="F166" s="60"/>
      <c r="G166" s="60"/>
      <c r="H166" s="49"/>
      <c r="I166" s="49"/>
      <c r="J166" s="58"/>
      <c r="K166" s="58"/>
      <c r="L166" s="59"/>
      <c r="M166" s="61"/>
      <c r="N166" s="60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</row>
    <row r="167" spans="1:28" ht="18" customHeight="1">
      <c r="A167" s="50"/>
      <c r="B167" s="49"/>
      <c r="C167" s="58"/>
      <c r="D167" s="59"/>
      <c r="E167" s="61"/>
      <c r="F167" s="60"/>
      <c r="G167" s="60"/>
      <c r="H167" s="49"/>
      <c r="I167" s="49"/>
      <c r="J167" s="58"/>
      <c r="K167" s="58"/>
      <c r="L167" s="59"/>
      <c r="M167" s="61"/>
      <c r="N167" s="60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</row>
    <row r="168" spans="1:28" ht="18" customHeight="1">
      <c r="A168" s="50"/>
      <c r="B168" s="49"/>
      <c r="C168" s="58"/>
      <c r="D168" s="59"/>
      <c r="E168" s="61"/>
      <c r="F168" s="60"/>
      <c r="G168" s="60"/>
      <c r="H168" s="49"/>
      <c r="I168" s="49"/>
      <c r="J168" s="58"/>
      <c r="K168" s="58"/>
      <c r="L168" s="59"/>
      <c r="M168" s="61"/>
      <c r="N168" s="60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</row>
    <row r="169" spans="1:28" ht="18" customHeight="1">
      <c r="A169" s="50"/>
      <c r="B169" s="49"/>
      <c r="C169" s="58"/>
      <c r="D169" s="59"/>
      <c r="E169" s="61"/>
      <c r="F169" s="60"/>
      <c r="G169" s="60"/>
      <c r="H169" s="49"/>
      <c r="I169" s="49"/>
      <c r="J169" s="58"/>
      <c r="K169" s="58"/>
      <c r="L169" s="59"/>
      <c r="M169" s="61"/>
      <c r="N169" s="60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</row>
    <row r="170" spans="1:28" ht="18" customHeight="1">
      <c r="A170" s="50"/>
      <c r="B170" s="49"/>
      <c r="C170" s="58"/>
      <c r="D170" s="59"/>
      <c r="E170" s="61"/>
      <c r="F170" s="60"/>
      <c r="G170" s="60"/>
      <c r="H170" s="49"/>
      <c r="I170" s="49"/>
      <c r="J170" s="58"/>
      <c r="K170" s="58"/>
      <c r="L170" s="59"/>
      <c r="M170" s="61"/>
      <c r="N170" s="60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</row>
    <row r="171" spans="1:28" ht="18" customHeight="1">
      <c r="A171" s="50"/>
      <c r="B171" s="49"/>
      <c r="C171" s="58"/>
      <c r="D171" s="59"/>
      <c r="E171" s="61"/>
      <c r="F171" s="60"/>
      <c r="G171" s="60"/>
      <c r="H171" s="49"/>
      <c r="I171" s="49"/>
      <c r="J171" s="58"/>
      <c r="K171" s="58"/>
      <c r="L171" s="59"/>
      <c r="M171" s="61"/>
      <c r="N171" s="60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</row>
    <row r="172" spans="1:28" ht="18" customHeight="1">
      <c r="A172" s="50"/>
      <c r="B172" s="49"/>
      <c r="C172" s="58"/>
      <c r="D172" s="59"/>
      <c r="E172" s="61"/>
      <c r="F172" s="60"/>
      <c r="G172" s="60"/>
      <c r="H172" s="49"/>
      <c r="I172" s="49"/>
      <c r="J172" s="58"/>
      <c r="K172" s="58"/>
      <c r="L172" s="59"/>
      <c r="M172" s="61"/>
      <c r="N172" s="60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</row>
    <row r="173" spans="1:28" ht="18" customHeight="1">
      <c r="A173" s="50"/>
      <c r="B173" s="49"/>
      <c r="C173" s="58"/>
      <c r="D173" s="59"/>
      <c r="E173" s="61"/>
      <c r="F173" s="60"/>
      <c r="G173" s="60"/>
      <c r="H173" s="49"/>
      <c r="I173" s="49"/>
      <c r="J173" s="58"/>
      <c r="K173" s="58"/>
      <c r="L173" s="59"/>
      <c r="M173" s="61"/>
      <c r="N173" s="60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</row>
    <row r="174" spans="1:28" ht="18" customHeight="1">
      <c r="A174" s="50"/>
      <c r="B174" s="49"/>
      <c r="C174" s="58"/>
      <c r="D174" s="59"/>
      <c r="E174" s="61"/>
      <c r="F174" s="60"/>
      <c r="G174" s="60"/>
      <c r="H174" s="49"/>
      <c r="I174" s="49"/>
      <c r="J174" s="58"/>
      <c r="K174" s="58"/>
      <c r="L174" s="59"/>
      <c r="M174" s="61"/>
      <c r="N174" s="60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</row>
    <row r="175" spans="1:28" ht="18" customHeight="1">
      <c r="A175" s="50"/>
      <c r="B175" s="49"/>
      <c r="C175" s="58"/>
      <c r="D175" s="59"/>
      <c r="E175" s="61"/>
      <c r="F175" s="60"/>
      <c r="G175" s="60"/>
      <c r="H175" s="49"/>
      <c r="I175" s="49"/>
      <c r="J175" s="58"/>
      <c r="K175" s="58"/>
      <c r="L175" s="59"/>
      <c r="M175" s="61"/>
      <c r="N175" s="60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</row>
    <row r="176" spans="1:28" ht="18" customHeight="1">
      <c r="A176" s="50"/>
      <c r="B176" s="49"/>
      <c r="C176" s="58"/>
      <c r="D176" s="59"/>
      <c r="E176" s="61"/>
      <c r="F176" s="60"/>
      <c r="G176" s="60"/>
      <c r="H176" s="49"/>
      <c r="I176" s="49"/>
      <c r="J176" s="58"/>
      <c r="K176" s="58"/>
      <c r="L176" s="59"/>
      <c r="M176" s="61"/>
      <c r="N176" s="60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</row>
    <row r="177" spans="1:28" ht="18" customHeight="1">
      <c r="A177" s="50"/>
      <c r="B177" s="49"/>
      <c r="C177" s="58"/>
      <c r="D177" s="59"/>
      <c r="E177" s="61"/>
      <c r="F177" s="60"/>
      <c r="G177" s="60"/>
      <c r="H177" s="49"/>
      <c r="I177" s="49"/>
      <c r="J177" s="58"/>
      <c r="K177" s="58"/>
      <c r="L177" s="59"/>
      <c r="M177" s="61"/>
      <c r="N177" s="60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</row>
    <row r="178" spans="1:28" ht="18" customHeight="1">
      <c r="A178" s="50"/>
      <c r="B178" s="49"/>
      <c r="C178" s="58"/>
      <c r="D178" s="59"/>
      <c r="E178" s="61"/>
      <c r="F178" s="60"/>
      <c r="G178" s="60"/>
      <c r="H178" s="49"/>
      <c r="I178" s="49"/>
      <c r="J178" s="58"/>
      <c r="K178" s="58"/>
      <c r="L178" s="59"/>
      <c r="M178" s="61"/>
      <c r="N178" s="60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</row>
    <row r="179" spans="1:28" ht="18" customHeight="1">
      <c r="A179" s="50"/>
      <c r="B179" s="49"/>
      <c r="C179" s="58"/>
      <c r="D179" s="59"/>
      <c r="E179" s="61"/>
      <c r="F179" s="60"/>
      <c r="G179" s="60"/>
      <c r="H179" s="49"/>
      <c r="I179" s="49"/>
      <c r="J179" s="58"/>
      <c r="K179" s="58"/>
      <c r="L179" s="59"/>
      <c r="M179" s="61"/>
      <c r="N179" s="60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</row>
    <row r="180" spans="1:28" ht="18" customHeight="1">
      <c r="A180" s="50"/>
      <c r="B180" s="49"/>
      <c r="C180" s="58"/>
      <c r="D180" s="59"/>
      <c r="E180" s="61"/>
      <c r="F180" s="60"/>
      <c r="G180" s="60"/>
      <c r="H180" s="49"/>
      <c r="I180" s="49"/>
      <c r="J180" s="58"/>
      <c r="K180" s="58"/>
      <c r="L180" s="59"/>
      <c r="M180" s="61"/>
      <c r="N180" s="60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</row>
    <row r="181" spans="1:28" ht="18" customHeight="1">
      <c r="A181" s="50"/>
      <c r="B181" s="49"/>
      <c r="C181" s="58"/>
      <c r="D181" s="59"/>
      <c r="E181" s="61"/>
      <c r="F181" s="60"/>
      <c r="G181" s="60"/>
      <c r="H181" s="49"/>
      <c r="I181" s="49"/>
      <c r="J181" s="58"/>
      <c r="K181" s="58"/>
      <c r="L181" s="59"/>
      <c r="M181" s="61"/>
      <c r="N181" s="60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</row>
    <row r="182" spans="1:28" ht="18" customHeight="1">
      <c r="A182" s="50"/>
      <c r="B182" s="49"/>
      <c r="C182" s="58"/>
      <c r="D182" s="59"/>
      <c r="E182" s="61"/>
      <c r="F182" s="60"/>
      <c r="G182" s="60"/>
      <c r="H182" s="49"/>
      <c r="I182" s="49"/>
      <c r="J182" s="58"/>
      <c r="K182" s="58"/>
      <c r="L182" s="59"/>
      <c r="M182" s="61"/>
      <c r="N182" s="60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</row>
    <row r="183" spans="1:28" ht="18" customHeight="1">
      <c r="A183" s="50"/>
      <c r="B183" s="49"/>
      <c r="C183" s="58"/>
      <c r="D183" s="59"/>
      <c r="E183" s="61"/>
      <c r="F183" s="60"/>
      <c r="G183" s="60"/>
      <c r="H183" s="49"/>
      <c r="I183" s="49"/>
      <c r="J183" s="58"/>
      <c r="K183" s="58"/>
      <c r="L183" s="59"/>
      <c r="M183" s="61"/>
      <c r="N183" s="60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</row>
    <row r="184" spans="1:28" ht="18" customHeight="1">
      <c r="A184" s="50"/>
      <c r="B184" s="49"/>
      <c r="C184" s="58"/>
      <c r="D184" s="59"/>
      <c r="E184" s="61"/>
      <c r="F184" s="60"/>
      <c r="G184" s="60"/>
      <c r="H184" s="49"/>
      <c r="I184" s="49"/>
      <c r="J184" s="58"/>
      <c r="K184" s="58"/>
      <c r="L184" s="59"/>
      <c r="M184" s="61"/>
      <c r="N184" s="60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</row>
    <row r="185" spans="1:28" ht="18" customHeight="1">
      <c r="A185" s="50"/>
      <c r="B185" s="49"/>
      <c r="C185" s="58"/>
      <c r="D185" s="59"/>
      <c r="E185" s="61"/>
      <c r="F185" s="60"/>
      <c r="G185" s="60"/>
      <c r="H185" s="49"/>
      <c r="I185" s="49"/>
      <c r="J185" s="58"/>
      <c r="K185" s="58"/>
      <c r="L185" s="59"/>
      <c r="M185" s="61"/>
      <c r="N185" s="60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</row>
    <row r="186" spans="1:28" ht="18" customHeight="1">
      <c r="A186" s="50"/>
      <c r="B186" s="49"/>
      <c r="C186" s="58"/>
      <c r="D186" s="59"/>
      <c r="E186" s="61"/>
      <c r="F186" s="60"/>
      <c r="G186" s="60"/>
      <c r="H186" s="49"/>
      <c r="I186" s="49"/>
      <c r="J186" s="58"/>
      <c r="K186" s="58"/>
      <c r="L186" s="59"/>
      <c r="M186" s="61"/>
      <c r="N186" s="60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</row>
    <row r="187" spans="1:28" ht="18" customHeight="1">
      <c r="A187" s="50"/>
      <c r="B187" s="49"/>
      <c r="C187" s="58"/>
      <c r="D187" s="59"/>
      <c r="E187" s="61"/>
      <c r="F187" s="60"/>
      <c r="G187" s="60"/>
      <c r="H187" s="49"/>
      <c r="I187" s="49"/>
      <c r="J187" s="58"/>
      <c r="K187" s="58"/>
      <c r="L187" s="59"/>
      <c r="M187" s="61"/>
      <c r="N187" s="60"/>
      <c r="O187" s="49"/>
      <c r="P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</row>
    <row r="188" spans="1:28" ht="18" customHeight="1">
      <c r="A188" s="50"/>
      <c r="B188" s="49"/>
      <c r="C188" s="58"/>
      <c r="D188" s="59"/>
      <c r="E188" s="61"/>
      <c r="F188" s="60"/>
      <c r="G188" s="60"/>
      <c r="H188" s="49"/>
      <c r="I188" s="49"/>
      <c r="J188" s="58"/>
      <c r="K188" s="58"/>
      <c r="L188" s="59"/>
      <c r="M188" s="61"/>
      <c r="N188" s="60"/>
      <c r="O188" s="49"/>
      <c r="P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</row>
    <row r="189" spans="1:28" ht="18" customHeight="1">
      <c r="A189" s="50"/>
      <c r="B189" s="49"/>
      <c r="C189" s="58"/>
      <c r="D189" s="59"/>
      <c r="E189" s="61"/>
      <c r="F189" s="60"/>
      <c r="G189" s="60"/>
      <c r="H189" s="49"/>
      <c r="I189" s="49"/>
      <c r="J189" s="58"/>
      <c r="K189" s="58"/>
      <c r="L189" s="59"/>
      <c r="M189" s="61"/>
      <c r="N189" s="60"/>
      <c r="O189" s="49"/>
      <c r="P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</row>
    <row r="190" spans="1:28" ht="18" customHeight="1">
      <c r="A190" s="50"/>
      <c r="B190" s="49"/>
      <c r="C190" s="58"/>
      <c r="D190" s="59"/>
      <c r="E190" s="61"/>
      <c r="F190" s="60"/>
      <c r="G190" s="60"/>
      <c r="H190" s="49"/>
      <c r="I190" s="49"/>
      <c r="J190" s="58"/>
      <c r="K190" s="58"/>
      <c r="L190" s="59"/>
      <c r="M190" s="61"/>
      <c r="N190" s="60"/>
      <c r="O190" s="49"/>
      <c r="P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</row>
    <row r="191" spans="1:28" ht="18" customHeight="1">
      <c r="A191" s="50"/>
      <c r="B191" s="49"/>
      <c r="C191" s="58"/>
      <c r="D191" s="59"/>
      <c r="E191" s="61"/>
      <c r="F191" s="60"/>
      <c r="G191" s="60"/>
      <c r="H191" s="49"/>
      <c r="I191" s="49"/>
      <c r="J191" s="58"/>
      <c r="K191" s="58"/>
      <c r="L191" s="59"/>
      <c r="M191" s="61"/>
      <c r="N191" s="60"/>
      <c r="O191" s="49"/>
      <c r="P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</row>
    <row r="192" spans="1:28" ht="18" customHeight="1">
      <c r="A192" s="50"/>
      <c r="B192" s="49"/>
      <c r="C192" s="58"/>
      <c r="D192" s="59"/>
      <c r="E192" s="61"/>
      <c r="F192" s="60"/>
      <c r="G192" s="60"/>
      <c r="H192" s="49"/>
      <c r="I192" s="49"/>
      <c r="J192" s="58"/>
      <c r="K192" s="58"/>
      <c r="L192" s="59"/>
      <c r="M192" s="61"/>
      <c r="N192" s="60"/>
      <c r="O192" s="49"/>
      <c r="P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</row>
    <row r="193" spans="1:28" ht="18" customHeight="1">
      <c r="A193" s="50"/>
      <c r="B193" s="49"/>
      <c r="C193" s="58"/>
      <c r="D193" s="59"/>
      <c r="E193" s="61"/>
      <c r="F193" s="60"/>
      <c r="G193" s="60"/>
      <c r="H193" s="49"/>
      <c r="I193" s="49"/>
      <c r="J193" s="58"/>
      <c r="K193" s="58"/>
      <c r="L193" s="59"/>
      <c r="M193" s="61"/>
      <c r="N193" s="60"/>
      <c r="O193" s="49"/>
      <c r="P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</row>
    <row r="194" spans="1:28" ht="18" customHeight="1">
      <c r="A194" s="50"/>
      <c r="B194" s="49"/>
      <c r="C194" s="58"/>
      <c r="D194" s="59"/>
      <c r="E194" s="61"/>
      <c r="F194" s="60"/>
      <c r="G194" s="60"/>
      <c r="H194" s="49"/>
      <c r="I194" s="49"/>
      <c r="J194" s="58"/>
      <c r="K194" s="58"/>
      <c r="L194" s="59"/>
      <c r="M194" s="61"/>
      <c r="N194" s="60"/>
      <c r="O194" s="49"/>
      <c r="P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</row>
    <row r="195" spans="1:28" ht="18" customHeight="1">
      <c r="A195" s="50"/>
      <c r="B195" s="49"/>
      <c r="C195" s="58"/>
      <c r="D195" s="59"/>
      <c r="E195" s="61"/>
      <c r="F195" s="60"/>
      <c r="G195" s="60"/>
      <c r="H195" s="49"/>
      <c r="I195" s="49"/>
      <c r="J195" s="58"/>
      <c r="K195" s="58"/>
      <c r="L195" s="59"/>
      <c r="M195" s="61"/>
      <c r="N195" s="60"/>
      <c r="O195" s="49"/>
      <c r="P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</row>
    <row r="196" spans="1:28" ht="18" customHeight="1">
      <c r="A196" s="50"/>
      <c r="B196" s="49"/>
      <c r="C196" s="58"/>
      <c r="D196" s="59"/>
      <c r="E196" s="61"/>
      <c r="F196" s="60"/>
      <c r="G196" s="60"/>
      <c r="H196" s="49"/>
      <c r="I196" s="49"/>
      <c r="J196" s="58"/>
      <c r="K196" s="58"/>
      <c r="L196" s="59"/>
      <c r="M196" s="61"/>
      <c r="N196" s="60"/>
      <c r="O196" s="49"/>
      <c r="P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</row>
    <row r="197" spans="1:28" ht="18" customHeight="1">
      <c r="A197" s="50"/>
      <c r="B197" s="49"/>
      <c r="C197" s="58"/>
      <c r="D197" s="59"/>
      <c r="E197" s="61"/>
      <c r="F197" s="60"/>
      <c r="G197" s="60"/>
      <c r="H197" s="49"/>
      <c r="I197" s="49"/>
      <c r="J197" s="58"/>
      <c r="K197" s="58"/>
      <c r="L197" s="59"/>
      <c r="M197" s="61"/>
      <c r="N197" s="60"/>
      <c r="O197" s="49"/>
      <c r="P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</row>
    <row r="198" spans="1:28" ht="18" customHeight="1">
      <c r="A198" s="50"/>
      <c r="B198" s="49"/>
      <c r="C198" s="58"/>
      <c r="D198" s="59"/>
      <c r="E198" s="61"/>
      <c r="F198" s="60"/>
      <c r="G198" s="60"/>
      <c r="H198" s="49"/>
      <c r="I198" s="49"/>
      <c r="J198" s="58"/>
      <c r="K198" s="58"/>
      <c r="L198" s="59"/>
      <c r="M198" s="61"/>
      <c r="N198" s="60"/>
      <c r="O198" s="49"/>
      <c r="P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</row>
    <row r="199" spans="1:28" ht="18" customHeight="1">
      <c r="A199" s="50"/>
      <c r="B199" s="49"/>
      <c r="C199" s="58"/>
      <c r="D199" s="59"/>
      <c r="E199" s="61"/>
      <c r="F199" s="60"/>
      <c r="G199" s="60"/>
      <c r="H199" s="49"/>
      <c r="I199" s="49"/>
      <c r="J199" s="58"/>
      <c r="K199" s="58"/>
      <c r="L199" s="59"/>
      <c r="M199" s="61"/>
      <c r="N199" s="60"/>
      <c r="O199" s="49"/>
      <c r="P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</row>
    <row r="200" spans="1:28" ht="18" customHeight="1">
      <c r="A200" s="50"/>
      <c r="B200" s="49"/>
      <c r="C200" s="58"/>
      <c r="D200" s="59"/>
      <c r="E200" s="61"/>
      <c r="F200" s="60"/>
      <c r="G200" s="60"/>
      <c r="H200" s="49"/>
      <c r="I200" s="49"/>
      <c r="J200" s="58"/>
      <c r="K200" s="58"/>
      <c r="L200" s="59"/>
      <c r="M200" s="61"/>
      <c r="N200" s="60"/>
      <c r="O200" s="49"/>
      <c r="P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</row>
    <row r="201" spans="1:28" ht="18" customHeight="1">
      <c r="A201" s="50"/>
      <c r="B201" s="49"/>
      <c r="C201" s="58"/>
      <c r="D201" s="59"/>
      <c r="E201" s="61"/>
      <c r="F201" s="60"/>
      <c r="G201" s="60"/>
      <c r="H201" s="49"/>
      <c r="I201" s="49"/>
      <c r="J201" s="58"/>
      <c r="K201" s="58"/>
      <c r="L201" s="59"/>
      <c r="M201" s="61"/>
      <c r="N201" s="60"/>
      <c r="O201" s="49"/>
      <c r="P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</row>
    <row r="202" spans="1:28" ht="18" customHeight="1">
      <c r="A202" s="50"/>
      <c r="B202" s="49"/>
      <c r="C202" s="58"/>
      <c r="D202" s="59"/>
      <c r="E202" s="61"/>
      <c r="F202" s="60"/>
      <c r="G202" s="60"/>
      <c r="H202" s="49"/>
      <c r="I202" s="49"/>
      <c r="J202" s="58"/>
      <c r="K202" s="58"/>
      <c r="L202" s="59"/>
      <c r="M202" s="61"/>
      <c r="N202" s="60"/>
      <c r="O202" s="49"/>
      <c r="P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</row>
    <row r="203" spans="1:28" ht="18" customHeight="1">
      <c r="A203" s="50"/>
      <c r="B203" s="49"/>
      <c r="C203" s="58"/>
      <c r="D203" s="59"/>
      <c r="E203" s="61"/>
      <c r="F203" s="60"/>
      <c r="G203" s="60"/>
      <c r="H203" s="49"/>
      <c r="I203" s="49"/>
      <c r="J203" s="58"/>
      <c r="K203" s="58"/>
      <c r="L203" s="59"/>
      <c r="M203" s="61"/>
      <c r="N203" s="60"/>
      <c r="O203" s="49"/>
      <c r="P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</row>
    <row r="204" spans="1:28" ht="18" customHeight="1">
      <c r="A204" s="50"/>
      <c r="B204" s="49"/>
      <c r="C204" s="58"/>
      <c r="D204" s="59"/>
      <c r="E204" s="61"/>
      <c r="F204" s="60"/>
      <c r="G204" s="60"/>
      <c r="H204" s="49"/>
      <c r="I204" s="49"/>
      <c r="J204" s="58"/>
      <c r="K204" s="58"/>
      <c r="L204" s="59"/>
      <c r="M204" s="61"/>
      <c r="N204" s="60"/>
      <c r="O204" s="49"/>
      <c r="P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</row>
    <row r="205" spans="1:28" ht="18" customHeight="1">
      <c r="A205" s="50"/>
      <c r="B205" s="49"/>
      <c r="C205" s="58"/>
      <c r="D205" s="59"/>
      <c r="E205" s="61"/>
      <c r="F205" s="60"/>
      <c r="G205" s="60"/>
      <c r="H205" s="49"/>
      <c r="I205" s="49"/>
      <c r="J205" s="58"/>
      <c r="K205" s="58"/>
      <c r="L205" s="59"/>
      <c r="M205" s="61"/>
      <c r="N205" s="60"/>
      <c r="O205" s="49"/>
      <c r="P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</row>
    <row r="206" spans="1:28" ht="18" customHeight="1">
      <c r="A206" s="50"/>
      <c r="B206" s="49"/>
      <c r="C206" s="58"/>
      <c r="D206" s="59"/>
      <c r="E206" s="61"/>
      <c r="F206" s="60"/>
      <c r="G206" s="60"/>
      <c r="H206" s="49"/>
      <c r="I206" s="49"/>
      <c r="J206" s="58"/>
      <c r="K206" s="58"/>
      <c r="L206" s="59"/>
      <c r="M206" s="61"/>
      <c r="N206" s="60"/>
      <c r="O206" s="49"/>
      <c r="P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</row>
    <row r="207" spans="1:28" ht="18" customHeight="1">
      <c r="A207" s="50"/>
      <c r="B207" s="49"/>
      <c r="C207" s="58"/>
      <c r="D207" s="59"/>
      <c r="E207" s="61"/>
      <c r="F207" s="60"/>
      <c r="G207" s="60"/>
      <c r="H207" s="49"/>
      <c r="I207" s="49"/>
      <c r="J207" s="58"/>
      <c r="K207" s="58"/>
      <c r="L207" s="59"/>
      <c r="M207" s="61"/>
      <c r="N207" s="60"/>
      <c r="O207" s="49"/>
      <c r="P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</row>
    <row r="208" spans="1:28" ht="18" customHeight="1">
      <c r="A208" s="50"/>
      <c r="B208" s="49"/>
      <c r="C208" s="58"/>
      <c r="D208" s="59"/>
      <c r="E208" s="61"/>
      <c r="F208" s="60"/>
      <c r="G208" s="60"/>
      <c r="H208" s="49"/>
      <c r="I208" s="49"/>
      <c r="J208" s="58"/>
      <c r="K208" s="58"/>
      <c r="L208" s="59"/>
      <c r="M208" s="61"/>
      <c r="N208" s="60"/>
      <c r="O208" s="49"/>
      <c r="P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</row>
    <row r="209" spans="1:28" ht="18" customHeight="1">
      <c r="A209" s="50"/>
      <c r="B209" s="49"/>
      <c r="C209" s="58"/>
      <c r="D209" s="59"/>
      <c r="E209" s="61"/>
      <c r="F209" s="60"/>
      <c r="G209" s="60"/>
      <c r="H209" s="49"/>
      <c r="I209" s="49"/>
      <c r="J209" s="58"/>
      <c r="K209" s="58"/>
      <c r="L209" s="59"/>
      <c r="M209" s="61"/>
      <c r="N209" s="60"/>
      <c r="O209" s="49"/>
      <c r="P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</row>
    <row r="210" spans="1:28" ht="18" customHeight="1">
      <c r="A210" s="50"/>
      <c r="B210" s="49"/>
      <c r="C210" s="58"/>
      <c r="D210" s="59"/>
      <c r="E210" s="61"/>
      <c r="F210" s="60"/>
      <c r="G210" s="60"/>
      <c r="H210" s="49"/>
      <c r="I210" s="49"/>
      <c r="J210" s="58"/>
      <c r="K210" s="58"/>
      <c r="L210" s="59"/>
      <c r="M210" s="61"/>
      <c r="N210" s="60"/>
      <c r="O210" s="49"/>
      <c r="P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</row>
    <row r="211" spans="1:28" ht="18" customHeight="1">
      <c r="A211" s="50"/>
      <c r="B211" s="49"/>
      <c r="C211" s="58"/>
      <c r="D211" s="59"/>
      <c r="E211" s="61"/>
      <c r="F211" s="60"/>
      <c r="G211" s="60"/>
      <c r="H211" s="49"/>
      <c r="I211" s="49"/>
      <c r="J211" s="58"/>
      <c r="K211" s="58"/>
      <c r="L211" s="59"/>
      <c r="M211" s="61"/>
      <c r="N211" s="60"/>
      <c r="O211" s="49"/>
      <c r="P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</row>
    <row r="212" spans="1:28" ht="18" customHeight="1">
      <c r="A212" s="50"/>
      <c r="B212" s="49"/>
      <c r="C212" s="58"/>
      <c r="D212" s="59"/>
      <c r="E212" s="61"/>
      <c r="F212" s="60"/>
      <c r="G212" s="60"/>
      <c r="H212" s="49"/>
      <c r="I212" s="49"/>
      <c r="J212" s="58"/>
      <c r="K212" s="58"/>
      <c r="L212" s="59"/>
      <c r="M212" s="61"/>
      <c r="N212" s="60"/>
      <c r="O212" s="49"/>
      <c r="P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</row>
    <row r="213" spans="1:28" ht="18" customHeight="1">
      <c r="A213" s="50"/>
      <c r="B213" s="49"/>
      <c r="C213" s="58"/>
      <c r="D213" s="59"/>
      <c r="E213" s="61"/>
      <c r="F213" s="60"/>
      <c r="G213" s="60"/>
      <c r="H213" s="49"/>
      <c r="I213" s="49"/>
      <c r="J213" s="58"/>
      <c r="K213" s="58"/>
      <c r="L213" s="59"/>
      <c r="M213" s="61"/>
      <c r="N213" s="60"/>
      <c r="O213" s="49"/>
      <c r="P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</row>
    <row r="214" spans="1:28" ht="18" customHeight="1">
      <c r="A214" s="50"/>
      <c r="B214" s="49"/>
      <c r="C214" s="58"/>
      <c r="D214" s="59"/>
      <c r="E214" s="61"/>
      <c r="F214" s="60"/>
      <c r="G214" s="60"/>
      <c r="H214" s="49"/>
      <c r="I214" s="49"/>
      <c r="J214" s="58"/>
      <c r="K214" s="58"/>
      <c r="L214" s="59"/>
      <c r="M214" s="61"/>
      <c r="N214" s="60"/>
      <c r="O214" s="49"/>
      <c r="P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</row>
    <row r="215" spans="1:28" ht="18" customHeight="1">
      <c r="A215" s="50"/>
      <c r="B215" s="49"/>
      <c r="C215" s="58"/>
      <c r="D215" s="59"/>
      <c r="E215" s="61"/>
      <c r="F215" s="60"/>
      <c r="G215" s="60"/>
      <c r="H215" s="49"/>
      <c r="I215" s="49"/>
      <c r="J215" s="58"/>
      <c r="K215" s="58"/>
      <c r="L215" s="59"/>
      <c r="M215" s="61"/>
      <c r="N215" s="60"/>
      <c r="O215" s="49"/>
      <c r="P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</row>
    <row r="216" spans="1:28" ht="18" customHeight="1">
      <c r="A216" s="50"/>
      <c r="B216" s="49"/>
      <c r="C216" s="58"/>
      <c r="D216" s="59"/>
      <c r="E216" s="61"/>
      <c r="F216" s="60"/>
      <c r="G216" s="60"/>
      <c r="H216" s="49"/>
      <c r="I216" s="49"/>
      <c r="J216" s="58"/>
      <c r="K216" s="58"/>
      <c r="L216" s="59"/>
      <c r="M216" s="61"/>
      <c r="N216" s="60"/>
      <c r="O216" s="49"/>
      <c r="P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</row>
    <row r="217" spans="1:28" ht="18" customHeight="1">
      <c r="A217" s="50"/>
      <c r="B217" s="49"/>
      <c r="C217" s="58"/>
      <c r="D217" s="59"/>
      <c r="E217" s="61"/>
      <c r="F217" s="60"/>
      <c r="G217" s="60"/>
      <c r="H217" s="49"/>
      <c r="I217" s="49"/>
      <c r="J217" s="58"/>
      <c r="K217" s="58"/>
      <c r="L217" s="59"/>
      <c r="M217" s="61"/>
      <c r="N217" s="60"/>
      <c r="O217" s="49"/>
      <c r="P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</row>
    <row r="218" spans="1:28" ht="18" customHeight="1">
      <c r="A218" s="50"/>
      <c r="B218" s="49"/>
      <c r="C218" s="58"/>
      <c r="D218" s="59"/>
      <c r="E218" s="61"/>
      <c r="F218" s="60"/>
      <c r="G218" s="60"/>
      <c r="H218" s="49"/>
      <c r="I218" s="49"/>
      <c r="J218" s="58"/>
      <c r="K218" s="58"/>
      <c r="L218" s="59"/>
      <c r="M218" s="61"/>
      <c r="N218" s="60"/>
      <c r="O218" s="49"/>
      <c r="P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</row>
    <row r="219" spans="1:28" ht="18" customHeight="1">
      <c r="A219" s="50"/>
      <c r="B219" s="49"/>
      <c r="C219" s="58"/>
      <c r="D219" s="59"/>
      <c r="E219" s="61"/>
      <c r="F219" s="60"/>
      <c r="G219" s="60"/>
      <c r="H219" s="49"/>
      <c r="I219" s="49"/>
      <c r="J219" s="58"/>
      <c r="K219" s="58"/>
      <c r="L219" s="59"/>
      <c r="M219" s="61"/>
      <c r="N219" s="60"/>
      <c r="O219" s="49"/>
      <c r="P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</row>
    <row r="220" spans="1:28" ht="18" customHeight="1">
      <c r="A220" s="50"/>
      <c r="B220" s="49"/>
      <c r="C220" s="58"/>
      <c r="D220" s="59"/>
      <c r="E220" s="61"/>
      <c r="F220" s="60"/>
      <c r="G220" s="60"/>
      <c r="H220" s="49"/>
      <c r="I220" s="49"/>
      <c r="J220" s="58"/>
      <c r="K220" s="58"/>
      <c r="L220" s="59"/>
      <c r="M220" s="61"/>
      <c r="N220" s="60"/>
      <c r="O220" s="49"/>
      <c r="P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</row>
    <row r="221" spans="1:28" ht="18" customHeight="1">
      <c r="A221" s="50"/>
      <c r="B221" s="49"/>
      <c r="C221" s="58"/>
      <c r="D221" s="59"/>
      <c r="E221" s="61"/>
      <c r="F221" s="60"/>
      <c r="G221" s="60"/>
      <c r="H221" s="49"/>
      <c r="I221" s="49"/>
      <c r="J221" s="58"/>
      <c r="K221" s="58"/>
      <c r="L221" s="59"/>
      <c r="M221" s="61"/>
      <c r="N221" s="60"/>
      <c r="O221" s="49"/>
      <c r="P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</row>
    <row r="222" spans="1:28" ht="18" customHeight="1">
      <c r="A222" s="50"/>
      <c r="B222" s="49"/>
      <c r="C222" s="58"/>
      <c r="D222" s="59"/>
      <c r="E222" s="61"/>
      <c r="F222" s="60"/>
      <c r="G222" s="60"/>
      <c r="H222" s="49"/>
      <c r="I222" s="49"/>
      <c r="J222" s="58"/>
      <c r="K222" s="58"/>
      <c r="L222" s="59"/>
      <c r="M222" s="61"/>
      <c r="N222" s="60"/>
      <c r="O222" s="49"/>
      <c r="P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</row>
    <row r="223" spans="1:28" ht="18" customHeight="1">
      <c r="A223" s="50"/>
      <c r="B223" s="49"/>
      <c r="C223" s="58"/>
      <c r="D223" s="59"/>
      <c r="E223" s="61"/>
      <c r="F223" s="60"/>
      <c r="G223" s="60"/>
      <c r="H223" s="49"/>
      <c r="I223" s="49"/>
      <c r="J223" s="58"/>
      <c r="K223" s="58"/>
      <c r="L223" s="59"/>
      <c r="M223" s="61"/>
      <c r="N223" s="60"/>
      <c r="O223" s="49"/>
      <c r="P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</row>
    <row r="224" spans="1:28" ht="18" customHeight="1">
      <c r="A224" s="50"/>
      <c r="B224" s="49"/>
      <c r="C224" s="58"/>
      <c r="D224" s="59"/>
      <c r="E224" s="61"/>
      <c r="F224" s="60"/>
      <c r="G224" s="60"/>
      <c r="H224" s="49"/>
      <c r="I224" s="49"/>
      <c r="J224" s="58"/>
      <c r="K224" s="58"/>
      <c r="L224" s="59"/>
      <c r="M224" s="61"/>
      <c r="N224" s="60"/>
      <c r="O224" s="49"/>
      <c r="P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</row>
    <row r="225" spans="1:28" ht="18" customHeight="1">
      <c r="A225" s="50"/>
      <c r="B225" s="49"/>
      <c r="C225" s="58"/>
      <c r="D225" s="59"/>
      <c r="E225" s="61"/>
      <c r="F225" s="60"/>
      <c r="G225" s="60"/>
      <c r="H225" s="49"/>
      <c r="I225" s="49"/>
      <c r="J225" s="58"/>
      <c r="K225" s="58"/>
      <c r="L225" s="59"/>
      <c r="M225" s="61"/>
      <c r="N225" s="60"/>
      <c r="O225" s="49"/>
      <c r="P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</row>
    <row r="226" spans="1:28" ht="18" customHeight="1">
      <c r="A226" s="50"/>
      <c r="B226" s="49"/>
      <c r="C226" s="58"/>
      <c r="D226" s="59"/>
      <c r="E226" s="61"/>
      <c r="F226" s="60"/>
      <c r="G226" s="60"/>
      <c r="H226" s="49"/>
      <c r="I226" s="49"/>
      <c r="J226" s="58"/>
      <c r="K226" s="58"/>
      <c r="L226" s="59"/>
      <c r="M226" s="61"/>
      <c r="N226" s="60"/>
      <c r="O226" s="49"/>
      <c r="P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</row>
    <row r="227" spans="1:28" ht="18" customHeight="1">
      <c r="A227" s="50"/>
      <c r="B227" s="49"/>
      <c r="C227" s="58"/>
      <c r="D227" s="59"/>
      <c r="E227" s="61"/>
      <c r="F227" s="60"/>
      <c r="G227" s="60"/>
      <c r="H227" s="49"/>
      <c r="I227" s="49"/>
      <c r="J227" s="58"/>
      <c r="K227" s="58"/>
      <c r="L227" s="59"/>
      <c r="M227" s="61"/>
      <c r="N227" s="60"/>
      <c r="O227" s="49"/>
      <c r="P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</row>
    <row r="228" spans="1:28" ht="18" customHeight="1">
      <c r="A228" s="50"/>
      <c r="B228" s="49"/>
      <c r="C228" s="58"/>
      <c r="D228" s="59"/>
      <c r="E228" s="61"/>
      <c r="F228" s="60"/>
      <c r="G228" s="60"/>
      <c r="H228" s="49"/>
      <c r="I228" s="49"/>
      <c r="J228" s="58"/>
      <c r="K228" s="58"/>
      <c r="L228" s="59"/>
      <c r="M228" s="61"/>
      <c r="N228" s="60"/>
      <c r="O228" s="49"/>
      <c r="P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</row>
    <row r="229" spans="1:28" ht="18" customHeight="1">
      <c r="A229" s="50"/>
      <c r="B229" s="49"/>
      <c r="C229" s="58"/>
      <c r="D229" s="59"/>
      <c r="E229" s="61"/>
      <c r="F229" s="60"/>
      <c r="G229" s="60"/>
      <c r="H229" s="49"/>
      <c r="I229" s="49"/>
      <c r="J229" s="58"/>
      <c r="K229" s="58"/>
      <c r="L229" s="59"/>
      <c r="M229" s="61"/>
      <c r="N229" s="60"/>
      <c r="O229" s="49"/>
      <c r="P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</row>
    <row r="230" spans="1:28" ht="18" customHeight="1">
      <c r="A230" s="50"/>
      <c r="B230" s="49"/>
      <c r="C230" s="58"/>
      <c r="D230" s="59"/>
      <c r="E230" s="61"/>
      <c r="F230" s="60"/>
      <c r="G230" s="60"/>
      <c r="H230" s="49"/>
      <c r="I230" s="49"/>
      <c r="J230" s="58"/>
      <c r="K230" s="58"/>
      <c r="L230" s="59"/>
      <c r="M230" s="61"/>
      <c r="N230" s="60"/>
      <c r="O230" s="49"/>
      <c r="P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</row>
    <row r="231" spans="1:28" ht="18" customHeight="1">
      <c r="A231" s="50"/>
      <c r="B231" s="49"/>
      <c r="C231" s="58"/>
      <c r="D231" s="59"/>
      <c r="E231" s="61"/>
      <c r="F231" s="60"/>
      <c r="G231" s="60"/>
      <c r="H231" s="49"/>
      <c r="I231" s="49"/>
      <c r="J231" s="58"/>
      <c r="K231" s="58"/>
      <c r="L231" s="59"/>
      <c r="M231" s="61"/>
      <c r="N231" s="60"/>
      <c r="O231" s="49"/>
      <c r="P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</row>
    <row r="232" spans="1:28" ht="18" customHeight="1">
      <c r="A232" s="50"/>
      <c r="B232" s="49"/>
      <c r="C232" s="58"/>
      <c r="D232" s="59"/>
      <c r="E232" s="61"/>
      <c r="F232" s="60"/>
      <c r="G232" s="60"/>
      <c r="H232" s="49"/>
      <c r="I232" s="49"/>
      <c r="J232" s="58"/>
      <c r="K232" s="58"/>
      <c r="L232" s="59"/>
      <c r="M232" s="61"/>
      <c r="N232" s="60"/>
      <c r="O232" s="49"/>
      <c r="P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</row>
    <row r="233" spans="1:28" ht="18" customHeight="1">
      <c r="A233" s="50"/>
      <c r="B233" s="49"/>
      <c r="C233" s="58"/>
      <c r="D233" s="59"/>
      <c r="E233" s="61"/>
      <c r="F233" s="60"/>
      <c r="G233" s="60"/>
      <c r="H233" s="49"/>
      <c r="I233" s="49"/>
      <c r="J233" s="58"/>
      <c r="K233" s="58"/>
      <c r="L233" s="59"/>
      <c r="M233" s="61"/>
      <c r="N233" s="60"/>
      <c r="O233" s="49"/>
      <c r="P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</row>
    <row r="234" spans="1:28" ht="18" customHeight="1">
      <c r="A234" s="50"/>
      <c r="B234" s="49"/>
      <c r="C234" s="58"/>
      <c r="D234" s="59"/>
      <c r="E234" s="61"/>
      <c r="F234" s="60"/>
      <c r="G234" s="60"/>
      <c r="H234" s="49"/>
      <c r="I234" s="49"/>
      <c r="J234" s="58"/>
      <c r="K234" s="58"/>
      <c r="L234" s="59"/>
      <c r="M234" s="61"/>
      <c r="N234" s="60"/>
      <c r="O234" s="49"/>
      <c r="P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</row>
    <row r="235" spans="1:28" ht="18" customHeight="1">
      <c r="A235" s="50"/>
      <c r="B235" s="49"/>
      <c r="C235" s="58"/>
      <c r="D235" s="59"/>
      <c r="E235" s="61"/>
      <c r="F235" s="60"/>
      <c r="G235" s="60"/>
      <c r="H235" s="49"/>
      <c r="I235" s="49"/>
      <c r="J235" s="58"/>
      <c r="K235" s="58"/>
      <c r="L235" s="59"/>
      <c r="M235" s="61"/>
      <c r="N235" s="60"/>
      <c r="O235" s="49"/>
      <c r="P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</row>
    <row r="236" spans="1:28" ht="18" customHeight="1">
      <c r="A236" s="50"/>
      <c r="B236" s="49"/>
      <c r="C236" s="58"/>
      <c r="D236" s="59"/>
      <c r="E236" s="61"/>
      <c r="F236" s="60"/>
      <c r="G236" s="60"/>
      <c r="H236" s="49"/>
      <c r="I236" s="49"/>
      <c r="J236" s="58"/>
      <c r="K236" s="58"/>
      <c r="L236" s="59"/>
      <c r="M236" s="61"/>
      <c r="N236" s="60"/>
      <c r="O236" s="49"/>
      <c r="P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</row>
    <row r="237" spans="1:28" ht="18" customHeight="1">
      <c r="A237" s="50"/>
      <c r="B237" s="49"/>
      <c r="C237" s="58"/>
      <c r="D237" s="59"/>
      <c r="E237" s="61"/>
      <c r="F237" s="60"/>
      <c r="G237" s="60"/>
      <c r="H237" s="49"/>
      <c r="I237" s="49"/>
      <c r="J237" s="58"/>
      <c r="K237" s="58"/>
      <c r="L237" s="59"/>
      <c r="M237" s="61"/>
      <c r="N237" s="60"/>
      <c r="O237" s="49"/>
      <c r="P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</row>
    <row r="238" spans="1:28" ht="18" customHeight="1">
      <c r="A238" s="50"/>
      <c r="B238" s="49"/>
      <c r="C238" s="58"/>
      <c r="D238" s="59"/>
      <c r="E238" s="61"/>
      <c r="F238" s="60"/>
      <c r="G238" s="60"/>
      <c r="H238" s="49"/>
      <c r="I238" s="49"/>
      <c r="J238" s="58"/>
      <c r="K238" s="58"/>
      <c r="L238" s="59"/>
      <c r="M238" s="61"/>
      <c r="N238" s="60"/>
      <c r="O238" s="49"/>
      <c r="P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</row>
    <row r="239" spans="1:28" ht="15.75" customHeight="1">
      <c r="B239" s="49"/>
      <c r="C239" s="58"/>
      <c r="D239" s="59"/>
      <c r="E239" s="61"/>
      <c r="F239" s="60"/>
      <c r="I239" s="49"/>
      <c r="J239" s="58"/>
      <c r="K239" s="58"/>
      <c r="L239" s="59"/>
      <c r="M239" s="61"/>
      <c r="N239" s="60"/>
    </row>
    <row r="240" spans="1:28" ht="15.75" customHeight="1">
      <c r="B240" s="49"/>
      <c r="C240" s="58"/>
      <c r="D240" s="59"/>
      <c r="E240" s="61"/>
      <c r="F240" s="60"/>
      <c r="I240" s="49"/>
      <c r="J240" s="58"/>
      <c r="K240" s="58"/>
      <c r="L240" s="59"/>
      <c r="M240" s="61"/>
      <c r="N240" s="60"/>
    </row>
    <row r="241" spans="2:14" ht="15.75" customHeight="1">
      <c r="B241" s="49"/>
      <c r="C241" s="58"/>
      <c r="D241" s="59"/>
      <c r="E241" s="61"/>
      <c r="F241" s="60"/>
      <c r="I241" s="49"/>
      <c r="J241" s="58"/>
      <c r="K241" s="58"/>
      <c r="L241" s="59"/>
      <c r="M241" s="61"/>
      <c r="N241" s="60"/>
    </row>
    <row r="242" spans="2:14" ht="15.75" customHeight="1">
      <c r="B242" s="49"/>
      <c r="C242" s="58"/>
      <c r="D242" s="59"/>
      <c r="E242" s="61"/>
      <c r="F242" s="60"/>
      <c r="I242" s="49"/>
      <c r="J242" s="58"/>
      <c r="K242" s="58"/>
      <c r="L242" s="59"/>
      <c r="M242" s="61"/>
      <c r="N242" s="60"/>
    </row>
    <row r="243" spans="2:14" ht="15.75" customHeight="1">
      <c r="B243" s="49"/>
      <c r="C243" s="58"/>
      <c r="D243" s="59"/>
      <c r="E243" s="61"/>
      <c r="F243" s="60"/>
      <c r="I243" s="49"/>
      <c r="J243" s="58"/>
      <c r="K243" s="58"/>
      <c r="L243" s="59"/>
      <c r="M243" s="61"/>
      <c r="N243" s="60"/>
    </row>
    <row r="244" spans="2:14" ht="15.75" customHeight="1">
      <c r="B244" s="49"/>
      <c r="C244" s="58"/>
      <c r="D244" s="59"/>
      <c r="E244" s="61"/>
      <c r="F244" s="60"/>
      <c r="I244" s="49"/>
      <c r="J244" s="58"/>
      <c r="K244" s="58"/>
      <c r="L244" s="59"/>
      <c r="M244" s="61"/>
      <c r="N244" s="60"/>
    </row>
    <row r="245" spans="2:14" ht="15.75" customHeight="1">
      <c r="B245" s="49"/>
      <c r="C245" s="58"/>
      <c r="D245" s="59"/>
      <c r="E245" s="61"/>
      <c r="F245" s="60"/>
      <c r="I245" s="49"/>
      <c r="J245" s="58"/>
      <c r="K245" s="58"/>
      <c r="L245" s="59"/>
      <c r="M245" s="61"/>
      <c r="N245" s="60"/>
    </row>
    <row r="246" spans="2:14" ht="15.75" customHeight="1">
      <c r="B246" s="49"/>
      <c r="C246" s="58"/>
      <c r="D246" s="59"/>
      <c r="E246" s="61"/>
      <c r="F246" s="60"/>
    </row>
    <row r="247" spans="2:14" ht="15.75" customHeight="1">
      <c r="B247" s="49"/>
      <c r="C247" s="58"/>
      <c r="D247" s="59"/>
      <c r="E247" s="61"/>
      <c r="F247" s="60"/>
    </row>
    <row r="248" spans="2:14" ht="15.75" customHeight="1">
      <c r="B248" s="49"/>
      <c r="C248" s="58"/>
      <c r="D248" s="59"/>
      <c r="E248" s="61"/>
      <c r="F248" s="60"/>
    </row>
    <row r="249" spans="2:14" ht="15.75" customHeight="1">
      <c r="B249" s="49"/>
      <c r="C249" s="58"/>
      <c r="D249" s="59"/>
      <c r="E249" s="61"/>
      <c r="F249" s="60"/>
    </row>
    <row r="250" spans="2:14" ht="15.75" customHeight="1">
      <c r="B250" s="49"/>
      <c r="C250" s="58"/>
      <c r="D250" s="59"/>
      <c r="E250" s="61"/>
      <c r="F250" s="60"/>
    </row>
    <row r="251" spans="2:14" ht="15.75" customHeight="1">
      <c r="B251" s="49"/>
      <c r="C251" s="58"/>
      <c r="D251" s="59"/>
      <c r="E251" s="61"/>
      <c r="F251" s="60"/>
    </row>
    <row r="252" spans="2:14" ht="15.75" customHeight="1">
      <c r="B252" s="49"/>
      <c r="C252" s="58"/>
      <c r="D252" s="59"/>
      <c r="E252" s="61"/>
      <c r="F252" s="60"/>
    </row>
    <row r="253" spans="2:14" ht="15.75" customHeight="1">
      <c r="B253" s="49"/>
      <c r="C253" s="58"/>
      <c r="D253" s="59"/>
      <c r="E253" s="61"/>
      <c r="F253" s="60"/>
    </row>
    <row r="254" spans="2:14" ht="15.75" customHeight="1">
      <c r="B254" s="49"/>
      <c r="C254" s="58"/>
      <c r="D254" s="59"/>
      <c r="E254" s="61"/>
      <c r="F254" s="60"/>
    </row>
    <row r="255" spans="2:14" ht="15.75" customHeight="1">
      <c r="B255" s="49"/>
      <c r="C255" s="58"/>
      <c r="D255" s="59"/>
      <c r="E255" s="61"/>
      <c r="F255" s="60"/>
    </row>
    <row r="256" spans="2:14" ht="15.75" customHeight="1">
      <c r="B256" s="49"/>
      <c r="C256" s="58"/>
      <c r="D256" s="59"/>
      <c r="E256" s="61"/>
      <c r="F256" s="60"/>
    </row>
    <row r="257" spans="2:6" ht="15.75" customHeight="1">
      <c r="B257" s="49"/>
      <c r="C257" s="58"/>
      <c r="D257" s="59"/>
      <c r="E257" s="61"/>
      <c r="F257" s="60"/>
    </row>
    <row r="258" spans="2:6" ht="15.75" customHeight="1">
      <c r="B258" s="49"/>
      <c r="C258" s="58"/>
      <c r="D258" s="59"/>
      <c r="E258" s="61"/>
      <c r="F258" s="60"/>
    </row>
    <row r="259" spans="2:6" ht="15.75" customHeight="1">
      <c r="B259" s="49"/>
      <c r="C259" s="58"/>
      <c r="D259" s="59"/>
      <c r="E259" s="61"/>
      <c r="F259" s="60"/>
    </row>
    <row r="260" spans="2:6" ht="15.75" customHeight="1">
      <c r="B260" s="49"/>
      <c r="C260" s="58"/>
      <c r="D260" s="59"/>
      <c r="E260" s="61"/>
      <c r="F260" s="60"/>
    </row>
    <row r="261" spans="2:6" ht="15.75" customHeight="1">
      <c r="B261" s="49"/>
      <c r="C261" s="58"/>
      <c r="D261" s="59"/>
      <c r="E261" s="61"/>
      <c r="F261" s="60"/>
    </row>
    <row r="262" spans="2:6" ht="15.75" customHeight="1">
      <c r="B262" s="49"/>
      <c r="C262" s="58"/>
      <c r="D262" s="59"/>
      <c r="E262" s="61"/>
      <c r="F262" s="60"/>
    </row>
    <row r="263" spans="2:6" ht="15.75" customHeight="1">
      <c r="B263" s="49"/>
      <c r="C263" s="58"/>
      <c r="D263" s="59"/>
      <c r="E263" s="61"/>
      <c r="F263" s="60"/>
    </row>
    <row r="264" spans="2:6" ht="15.75" customHeight="1">
      <c r="B264" s="49"/>
      <c r="C264" s="58"/>
      <c r="D264" s="59"/>
      <c r="E264" s="61"/>
      <c r="F264" s="60"/>
    </row>
    <row r="265" spans="2:6" ht="15.75" customHeight="1">
      <c r="B265" s="49"/>
      <c r="C265" s="58"/>
      <c r="D265" s="59"/>
      <c r="E265" s="61"/>
      <c r="F265" s="60"/>
    </row>
    <row r="266" spans="2:6" ht="15.75" customHeight="1"/>
    <row r="267" spans="2:6" ht="15.75" customHeight="1"/>
    <row r="268" spans="2:6" ht="15.75" customHeight="1"/>
    <row r="269" spans="2:6" ht="15.75" customHeight="1"/>
    <row r="270" spans="2:6" ht="15.75" customHeight="1"/>
    <row r="271" spans="2:6" ht="15.75" customHeight="1"/>
    <row r="272" spans="2:6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27">
    <mergeCell ref="Q4:R4"/>
    <mergeCell ref="B6:F6"/>
    <mergeCell ref="I6:N6"/>
    <mergeCell ref="Q6:R6"/>
    <mergeCell ref="C14:F14"/>
    <mergeCell ref="B17:F17"/>
    <mergeCell ref="C23:F23"/>
    <mergeCell ref="B27:F27"/>
    <mergeCell ref="B1:N1"/>
    <mergeCell ref="B4:F4"/>
    <mergeCell ref="I4:N4"/>
    <mergeCell ref="J29:N29"/>
    <mergeCell ref="J30:N30"/>
    <mergeCell ref="J31:N31"/>
    <mergeCell ref="J32:N32"/>
    <mergeCell ref="J20:N20"/>
    <mergeCell ref="M37:N38"/>
    <mergeCell ref="B71:F71"/>
    <mergeCell ref="C78:F78"/>
    <mergeCell ref="C40:F40"/>
    <mergeCell ref="B44:F44"/>
    <mergeCell ref="B52:F52"/>
    <mergeCell ref="C90:F90"/>
    <mergeCell ref="C92:F92"/>
    <mergeCell ref="C48:F48"/>
    <mergeCell ref="C67:F67"/>
    <mergeCell ref="I37:I38"/>
  </mergeCells>
  <conditionalFormatting sqref="B2">
    <cfRule type="notContainsBlanks" dxfId="12" priority="5">
      <formula>LEN(TRIM(B2))&gt;0</formula>
    </cfRule>
  </conditionalFormatting>
  <conditionalFormatting sqref="I37 M37">
    <cfRule type="cellIs" dxfId="11" priority="1" operator="lessThan">
      <formula>0</formula>
    </cfRule>
  </conditionalFormatting>
  <conditionalFormatting sqref="J31:L43 I39:I43 M39:M43">
    <cfRule type="cellIs" dxfId="10" priority="2" operator="lessThan">
      <formula>0</formula>
    </cfRule>
  </conditionalFormatting>
  <conditionalFormatting sqref="J29:N29">
    <cfRule type="notContainsBlanks" dxfId="9" priority="6">
      <formula>LEN(TRIM(J29))&gt;0</formula>
    </cfRule>
  </conditionalFormatting>
  <conditionalFormatting sqref="U22:U24">
    <cfRule type="cellIs" dxfId="8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99"/>
  <sheetViews>
    <sheetView topLeftCell="A16" zoomScale="228" workbookViewId="0">
      <selection activeCell="F36" sqref="F36"/>
    </sheetView>
  </sheetViews>
  <sheetFormatPr defaultColWidth="12.625" defaultRowHeight="15" customHeight="1"/>
  <cols>
    <col min="3" max="3" width="17.625" customWidth="1"/>
    <col min="6" max="6" width="17.5" customWidth="1"/>
    <col min="7" max="7" width="23.625" customWidth="1"/>
    <col min="8" max="8" width="17.625" customWidth="1"/>
    <col min="9" max="9" width="17.375" customWidth="1"/>
    <col min="11" max="11" width="16.625" bestFit="1" customWidth="1"/>
    <col min="12" max="12" width="15.375" bestFit="1" customWidth="1"/>
  </cols>
  <sheetData>
    <row r="1" spans="1:29">
      <c r="A1" s="199"/>
      <c r="B1" s="602" t="s">
        <v>148</v>
      </c>
      <c r="C1" s="594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</row>
    <row r="3" spans="1:29">
      <c r="A3" s="199"/>
      <c r="B3" s="603" t="s">
        <v>149</v>
      </c>
      <c r="C3" s="594"/>
      <c r="D3" s="594"/>
      <c r="E3" s="200">
        <v>18</v>
      </c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</row>
    <row r="4" spans="1:29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</row>
    <row r="5" spans="1:29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</row>
    <row r="6" spans="1:29">
      <c r="A6" s="199"/>
      <c r="B6" s="201">
        <v>1</v>
      </c>
      <c r="C6" s="604" t="s">
        <v>150</v>
      </c>
      <c r="D6" s="594"/>
      <c r="E6" s="199"/>
      <c r="F6" s="199"/>
      <c r="G6" s="203" t="s">
        <v>79</v>
      </c>
      <c r="H6" s="203" t="s">
        <v>151</v>
      </c>
      <c r="I6" s="203" t="s">
        <v>152</v>
      </c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</row>
    <row r="7" spans="1:29">
      <c r="A7" s="199"/>
      <c r="B7" s="204">
        <v>45658</v>
      </c>
      <c r="C7" s="603" t="s">
        <v>153</v>
      </c>
      <c r="D7" s="594"/>
      <c r="E7" s="594"/>
      <c r="F7" s="594"/>
      <c r="G7" s="205"/>
      <c r="H7" s="205"/>
      <c r="I7" s="206">
        <f>SUM(Shares!D3:D4)</f>
        <v>24460000</v>
      </c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</row>
    <row r="8" spans="1:29">
      <c r="A8" s="199"/>
      <c r="B8" s="204">
        <v>45689</v>
      </c>
      <c r="C8" s="199" t="s">
        <v>154</v>
      </c>
      <c r="D8" s="199"/>
      <c r="E8" s="199"/>
      <c r="F8" s="199"/>
      <c r="G8" s="199"/>
      <c r="H8" s="199"/>
      <c r="I8" s="206">
        <f>Businessplan_prodej!F9</f>
        <v>1034399</v>
      </c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</row>
    <row r="9" spans="1:29">
      <c r="A9" s="199"/>
      <c r="B9" s="204">
        <v>45717</v>
      </c>
      <c r="C9" s="603" t="s">
        <v>155</v>
      </c>
      <c r="D9" s="594"/>
      <c r="E9" s="594"/>
      <c r="F9" s="594"/>
      <c r="G9" s="199"/>
      <c r="H9" s="199"/>
      <c r="I9" s="206">
        <f>Businessplan_prodej!F10</f>
        <v>250000</v>
      </c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</row>
    <row r="10" spans="1:29">
      <c r="A10" s="199"/>
      <c r="B10" s="204">
        <v>45748</v>
      </c>
      <c r="C10" s="199" t="s">
        <v>156</v>
      </c>
      <c r="D10" s="199" t="s">
        <v>157</v>
      </c>
      <c r="E10" s="199"/>
      <c r="F10" s="199"/>
      <c r="G10" s="199"/>
      <c r="H10" s="199"/>
      <c r="I10" s="206">
        <f>Businessplan_prodej!F11</f>
        <v>1500000</v>
      </c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</row>
    <row r="11" spans="1:29">
      <c r="A11" s="199"/>
      <c r="B11" s="204">
        <v>45778</v>
      </c>
      <c r="C11" s="199" t="s">
        <v>156</v>
      </c>
      <c r="D11" s="199" t="s">
        <v>158</v>
      </c>
      <c r="E11" s="199"/>
      <c r="F11" s="199"/>
      <c r="G11" s="242">
        <f>I11/$I$7</f>
        <v>4.4408135731807033E-2</v>
      </c>
      <c r="H11" s="199"/>
      <c r="I11" s="206">
        <f>Businessplan_prodej!F12</f>
        <v>1086223</v>
      </c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99"/>
      <c r="Z11" s="199"/>
      <c r="AA11" s="199"/>
      <c r="AB11" s="199"/>
      <c r="AC11" s="199"/>
    </row>
    <row r="12" spans="1:29">
      <c r="A12" s="199"/>
      <c r="B12" s="567" t="s">
        <v>159</v>
      </c>
      <c r="C12" s="605"/>
      <c r="D12" s="207"/>
      <c r="E12" s="207"/>
      <c r="F12" s="207"/>
      <c r="G12" s="207"/>
      <c r="H12" s="207"/>
      <c r="I12" s="208">
        <f>SUM(I7:I11)</f>
        <v>28330622</v>
      </c>
      <c r="J12" s="199"/>
      <c r="K12" s="199"/>
      <c r="L12" s="476"/>
      <c r="M12" s="476"/>
      <c r="N12" s="199"/>
      <c r="O12" s="199"/>
      <c r="P12" s="199"/>
      <c r="Q12" s="199"/>
      <c r="R12" s="199"/>
      <c r="S12" s="199"/>
      <c r="T12" s="199"/>
      <c r="U12" s="199"/>
      <c r="V12" s="199"/>
      <c r="W12" s="199"/>
      <c r="X12" s="199"/>
      <c r="Y12" s="199"/>
      <c r="Z12" s="199"/>
      <c r="AA12" s="199"/>
      <c r="AB12" s="199"/>
      <c r="AC12" s="199"/>
    </row>
    <row r="13" spans="1:29">
      <c r="A13" s="199"/>
      <c r="B13" s="20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</row>
    <row r="14" spans="1:29">
      <c r="A14" s="199"/>
      <c r="B14" s="20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199"/>
      <c r="AC14" s="199"/>
    </row>
    <row r="15" spans="1:29">
      <c r="A15" s="199"/>
      <c r="B15" s="201" t="s">
        <v>160</v>
      </c>
      <c r="C15" s="604" t="s">
        <v>161</v>
      </c>
      <c r="D15" s="594"/>
      <c r="E15" s="199"/>
      <c r="F15" s="199"/>
      <c r="G15" s="203" t="s">
        <v>79</v>
      </c>
      <c r="H15" s="203" t="s">
        <v>151</v>
      </c>
      <c r="I15" s="203" t="s">
        <v>152</v>
      </c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</row>
    <row r="16" spans="1:29">
      <c r="A16" s="199"/>
      <c r="B16" s="204">
        <v>45718</v>
      </c>
      <c r="C16" s="199" t="s">
        <v>162</v>
      </c>
      <c r="D16" s="199"/>
      <c r="E16" s="199"/>
      <c r="F16" s="199"/>
      <c r="G16" s="199">
        <f>Rentroll!C13*1.05</f>
        <v>4118.1000000000004</v>
      </c>
      <c r="H16" s="210">
        <f>I16/G16</f>
        <v>23765.814331852067</v>
      </c>
      <c r="I16" s="210">
        <f>Businessplan_prodej!F30</f>
        <v>97870000</v>
      </c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</row>
    <row r="17" spans="1:29">
      <c r="A17" s="199"/>
      <c r="B17" s="211"/>
      <c r="C17" s="199" t="s">
        <v>163</v>
      </c>
      <c r="D17" s="199"/>
      <c r="E17" s="199"/>
      <c r="F17" s="199"/>
      <c r="G17" s="212">
        <v>0.08</v>
      </c>
      <c r="H17" s="210">
        <f>I16</f>
        <v>97870000</v>
      </c>
      <c r="I17" s="210">
        <f>(H17+I18)*G17</f>
        <v>7876577.6000000006</v>
      </c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</row>
    <row r="18" spans="1:29">
      <c r="A18" s="199"/>
      <c r="B18" s="213">
        <v>45749</v>
      </c>
      <c r="C18" s="199" t="s">
        <v>164</v>
      </c>
      <c r="D18" s="199"/>
      <c r="E18" s="199"/>
      <c r="F18" s="199"/>
      <c r="G18" s="212"/>
      <c r="H18" s="214"/>
      <c r="I18" s="215">
        <f>Businessplan_prodej!F37</f>
        <v>587220</v>
      </c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</row>
    <row r="19" spans="1:29">
      <c r="A19" s="199"/>
      <c r="B19" s="567" t="s">
        <v>165</v>
      </c>
      <c r="C19" s="605"/>
      <c r="D19" s="207"/>
      <c r="E19" s="207"/>
      <c r="F19" s="207"/>
      <c r="G19" s="216" t="s">
        <v>166</v>
      </c>
      <c r="H19" s="216" t="s">
        <v>167</v>
      </c>
      <c r="I19" s="217">
        <f>SUM(I16:I18)</f>
        <v>106333797.59999999</v>
      </c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</row>
    <row r="20" spans="1:29">
      <c r="A20" s="199"/>
      <c r="B20" s="20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</row>
    <row r="21" spans="1:29">
      <c r="A21" s="199"/>
      <c r="B21" s="20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  <c r="AA21" s="199"/>
      <c r="AB21" s="199"/>
      <c r="AC21" s="199"/>
    </row>
    <row r="22" spans="1:29">
      <c r="A22" s="199"/>
      <c r="B22" s="201" t="s">
        <v>168</v>
      </c>
      <c r="C22" s="604" t="s">
        <v>169</v>
      </c>
      <c r="D22" s="594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99"/>
      <c r="X22" s="199"/>
      <c r="Y22" s="199"/>
      <c r="Z22" s="199"/>
      <c r="AA22" s="199"/>
      <c r="AB22" s="199"/>
      <c r="AC22" s="199"/>
    </row>
    <row r="23" spans="1:29">
      <c r="A23" s="199"/>
      <c r="B23" s="204">
        <v>45660</v>
      </c>
      <c r="C23" s="199" t="s">
        <v>170</v>
      </c>
      <c r="D23" s="603" t="s">
        <v>171</v>
      </c>
      <c r="E23" s="594"/>
      <c r="F23" s="199"/>
      <c r="G23" s="199"/>
      <c r="H23" s="199"/>
      <c r="I23" s="218">
        <f>Businessplan_prodej!C23</f>
        <v>800000</v>
      </c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</row>
    <row r="24" spans="1:29">
      <c r="A24" s="199"/>
      <c r="B24" s="204">
        <v>45691</v>
      </c>
      <c r="C24" s="603" t="s">
        <v>172</v>
      </c>
      <c r="D24" s="594"/>
      <c r="E24" s="199"/>
      <c r="F24" s="199"/>
      <c r="G24" s="199"/>
      <c r="H24" s="199"/>
      <c r="I24" s="205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</row>
    <row r="25" spans="1:29">
      <c r="A25" s="199"/>
      <c r="B25" s="211"/>
      <c r="C25" s="199"/>
      <c r="D25" s="199"/>
      <c r="E25" s="199" t="s">
        <v>157</v>
      </c>
      <c r="F25" s="199"/>
      <c r="G25" s="242">
        <v>0.02</v>
      </c>
      <c r="H25" s="199"/>
      <c r="I25" s="454">
        <f>Businessplan_prodej!F54</f>
        <v>2172960</v>
      </c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</row>
    <row r="26" spans="1:29">
      <c r="A26" s="199"/>
      <c r="B26" s="211"/>
      <c r="C26" s="199"/>
      <c r="D26" s="199"/>
      <c r="E26" s="199" t="s">
        <v>158</v>
      </c>
      <c r="F26" s="199"/>
      <c r="G26" s="242"/>
      <c r="H26" s="199"/>
      <c r="I26" s="454">
        <f>Businessplan_prodej!F55</f>
        <v>2705000</v>
      </c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</row>
    <row r="27" spans="1:29">
      <c r="A27" s="199"/>
      <c r="B27" s="204">
        <v>45719</v>
      </c>
      <c r="C27" s="603" t="s">
        <v>173</v>
      </c>
      <c r="D27" s="594"/>
      <c r="E27" s="594"/>
      <c r="F27" s="199"/>
      <c r="G27" s="199"/>
      <c r="H27" s="199"/>
      <c r="I27" s="454">
        <f>Businessplan_prodej!F62+Businessplan_prodej!F63+Businessplan_prodej!F64</f>
        <v>903837.27960000001</v>
      </c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</row>
    <row r="28" spans="1:29">
      <c r="A28" s="199"/>
      <c r="B28" s="204">
        <v>45750</v>
      </c>
      <c r="C28" s="603" t="s">
        <v>174</v>
      </c>
      <c r="D28" s="594"/>
      <c r="E28" s="594"/>
      <c r="F28" s="199"/>
      <c r="G28" s="212">
        <v>0.15</v>
      </c>
      <c r="H28" s="227">
        <f>Rentroll!L13</f>
        <v>15757587</v>
      </c>
      <c r="I28" s="455">
        <f>H28*G28</f>
        <v>2363638.0499999998</v>
      </c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</row>
    <row r="29" spans="1:29">
      <c r="A29" s="199"/>
      <c r="B29" s="567" t="s">
        <v>175</v>
      </c>
      <c r="C29" s="605"/>
      <c r="D29" s="207"/>
      <c r="E29" s="207"/>
      <c r="F29" s="207"/>
      <c r="G29" s="207"/>
      <c r="H29" s="207"/>
      <c r="I29" s="220">
        <f>SUM(I23:I28)</f>
        <v>8945435.3295999989</v>
      </c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</row>
    <row r="30" spans="1:29">
      <c r="A30" s="199"/>
      <c r="B30" s="211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</row>
    <row r="31" spans="1:29">
      <c r="A31" s="199"/>
      <c r="B31" s="211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99"/>
      <c r="AB31" s="199"/>
      <c r="AC31" s="199"/>
    </row>
    <row r="32" spans="1:29">
      <c r="A32" s="199"/>
      <c r="B32" s="199"/>
      <c r="C32" s="569" t="s">
        <v>176</v>
      </c>
      <c r="D32" s="594"/>
      <c r="E32" s="594"/>
      <c r="F32" s="221"/>
      <c r="G32" s="221"/>
      <c r="H32" s="221"/>
      <c r="I32" s="222">
        <f>I29+I19+I12</f>
        <v>143609854.9296</v>
      </c>
      <c r="J32" s="199"/>
      <c r="K32" s="218"/>
      <c r="L32" s="218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</row>
    <row r="33" spans="1:29">
      <c r="A33" s="199"/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99"/>
      <c r="AB33" s="199"/>
      <c r="AC33" s="199"/>
    </row>
    <row r="34" spans="1:29">
      <c r="A34" s="199"/>
      <c r="B34" s="199"/>
      <c r="C34" s="199"/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  <c r="AA34" s="199"/>
      <c r="AB34" s="199"/>
      <c r="AC34" s="199"/>
    </row>
    <row r="35" spans="1:29">
      <c r="A35" s="199"/>
      <c r="B35" s="199" t="s">
        <v>177</v>
      </c>
      <c r="C35" s="199" t="s">
        <v>178</v>
      </c>
      <c r="D35" s="203" t="s">
        <v>179</v>
      </c>
      <c r="E35" s="203" t="s">
        <v>180</v>
      </c>
      <c r="F35" s="199"/>
      <c r="G35" s="199" t="s">
        <v>181</v>
      </c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199"/>
    </row>
    <row r="36" spans="1:29">
      <c r="A36" s="199"/>
      <c r="B36" s="204">
        <v>45661</v>
      </c>
      <c r="C36" s="199" t="s">
        <v>182</v>
      </c>
      <c r="D36" s="451">
        <f>1-D42</f>
        <v>0.35</v>
      </c>
      <c r="E36" s="203"/>
      <c r="F36" s="228">
        <f>SUM(F37:F38)</f>
        <v>13647456.999999998</v>
      </c>
      <c r="G36" s="452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</row>
    <row r="37" spans="1:29">
      <c r="A37" s="199"/>
      <c r="B37" s="211"/>
      <c r="C37" s="199" t="s">
        <v>183</v>
      </c>
      <c r="D37" s="451">
        <v>0.3</v>
      </c>
      <c r="E37" s="203"/>
      <c r="F37" s="228">
        <f>(Shares!$D$5+Shares!D6)*D37</f>
        <v>4094237.0999999996</v>
      </c>
      <c r="G37" s="452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</row>
    <row r="38" spans="1:29">
      <c r="A38" s="199"/>
      <c r="B38" s="211"/>
      <c r="C38" s="199" t="s">
        <v>184</v>
      </c>
      <c r="D38" s="451">
        <v>0.7</v>
      </c>
      <c r="E38" s="203"/>
      <c r="F38" s="228">
        <f>(Shares!$D$5+Shares!D6)*D38</f>
        <v>9553219.8999999985</v>
      </c>
      <c r="G38" s="452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</row>
    <row r="39" spans="1:29">
      <c r="A39" s="199"/>
      <c r="B39" s="204">
        <v>45692</v>
      </c>
      <c r="C39" s="199" t="s">
        <v>185</v>
      </c>
      <c r="D39" s="451">
        <f>1-D42</f>
        <v>0.35</v>
      </c>
      <c r="E39" s="203"/>
      <c r="F39" s="228">
        <f>I32*D39</f>
        <v>50263449.225359999</v>
      </c>
      <c r="G39" s="452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</row>
    <row r="40" spans="1:29">
      <c r="A40" s="199"/>
      <c r="B40" s="211"/>
      <c r="C40" s="199" t="s">
        <v>186</v>
      </c>
      <c r="D40" s="451">
        <v>0.3</v>
      </c>
      <c r="E40" s="203">
        <v>18</v>
      </c>
      <c r="F40" s="228">
        <f>F39*D40</f>
        <v>15079034.767608</v>
      </c>
      <c r="G40" s="452">
        <v>0.11</v>
      </c>
      <c r="H40" s="199"/>
      <c r="I40" s="228">
        <f>F40*G40/12*E40</f>
        <v>2488040.73665532</v>
      </c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</row>
    <row r="41" spans="1:29">
      <c r="A41" s="199"/>
      <c r="B41" s="211"/>
      <c r="C41" s="199" t="s">
        <v>187</v>
      </c>
      <c r="D41" s="451">
        <v>0.7</v>
      </c>
      <c r="E41" s="203">
        <v>12</v>
      </c>
      <c r="F41" s="228">
        <f>F39*D41</f>
        <v>35184414.457751997</v>
      </c>
      <c r="G41" s="452">
        <v>0.11</v>
      </c>
      <c r="H41" s="199"/>
      <c r="I41" s="228">
        <f>F41*G41/12*E41</f>
        <v>3870285.5903527196</v>
      </c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</row>
    <row r="42" spans="1:29">
      <c r="A42" s="199"/>
      <c r="B42" s="204">
        <v>45720</v>
      </c>
      <c r="C42" s="199" t="s">
        <v>188</v>
      </c>
      <c r="D42" s="453">
        <v>0.65</v>
      </c>
      <c r="E42" s="203">
        <v>9</v>
      </c>
      <c r="F42" s="218">
        <f>I32*D42</f>
        <v>93346405.704240009</v>
      </c>
      <c r="G42" s="452">
        <v>5.5E-2</v>
      </c>
      <c r="H42" s="199"/>
      <c r="I42" s="228">
        <f>-'Cash-flow 6.2025'!BY61</f>
        <v>2447500</v>
      </c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</row>
    <row r="43" spans="1:29">
      <c r="A43" s="199"/>
      <c r="B43" s="204"/>
      <c r="C43" s="199" t="s">
        <v>189</v>
      </c>
      <c r="D43" s="453"/>
      <c r="E43" s="203"/>
      <c r="F43" s="199"/>
      <c r="G43" s="452"/>
      <c r="H43" s="199"/>
      <c r="I43" s="228">
        <f>Businessplan_prodej!F73</f>
        <v>204434.50550848001</v>
      </c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</row>
    <row r="44" spans="1:29">
      <c r="A44" s="199"/>
      <c r="B44" s="568" t="s">
        <v>175</v>
      </c>
      <c r="C44" s="605"/>
      <c r="D44" s="224"/>
      <c r="E44" s="224"/>
      <c r="F44" s="224"/>
      <c r="G44" s="224"/>
      <c r="H44" s="224"/>
      <c r="I44" s="225">
        <f>SUM(I40:I43)</f>
        <v>9010260.8325165194</v>
      </c>
      <c r="J44" s="199"/>
      <c r="K44" s="228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</row>
    <row r="45" spans="1:29">
      <c r="A45" s="199"/>
      <c r="B45" s="211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</row>
    <row r="46" spans="1:29">
      <c r="A46" s="199"/>
      <c r="B46" s="211"/>
      <c r="C46" s="199"/>
      <c r="D46" s="199"/>
      <c r="E46" s="199"/>
      <c r="F46" s="199"/>
      <c r="G46" s="199"/>
      <c r="H46" s="203" t="s">
        <v>190</v>
      </c>
      <c r="I46" s="203" t="s">
        <v>152</v>
      </c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</row>
    <row r="47" spans="1:29">
      <c r="A47" s="199"/>
      <c r="B47" s="211"/>
      <c r="C47" s="569" t="s">
        <v>191</v>
      </c>
      <c r="D47" s="594"/>
      <c r="E47" s="594"/>
      <c r="F47" s="221"/>
      <c r="G47" s="221"/>
      <c r="H47" s="226">
        <f>I47/G16</f>
        <v>40374.826439891338</v>
      </c>
      <c r="I47" s="222">
        <f>I32+I44+F36</f>
        <v>166267572.76211652</v>
      </c>
      <c r="J47" s="199"/>
      <c r="K47" s="218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</row>
    <row r="48" spans="1:29">
      <c r="A48" s="199"/>
      <c r="B48" s="211"/>
      <c r="C48" s="211"/>
      <c r="D48" s="199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</row>
    <row r="49" spans="1:29">
      <c r="A49" s="199"/>
      <c r="B49" s="199"/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</row>
    <row r="50" spans="1:29">
      <c r="A50" s="199"/>
      <c r="B50" s="202" t="s">
        <v>192</v>
      </c>
      <c r="C50" s="202" t="s">
        <v>193</v>
      </c>
      <c r="D50" s="199"/>
      <c r="E50" s="199"/>
      <c r="F50" s="203" t="s">
        <v>79</v>
      </c>
      <c r="G50" s="203" t="s">
        <v>194</v>
      </c>
      <c r="H50" s="203" t="s">
        <v>195</v>
      </c>
      <c r="I50" s="203" t="s">
        <v>196</v>
      </c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</row>
    <row r="51" spans="1:29">
      <c r="A51" s="199"/>
      <c r="B51" s="199"/>
      <c r="C51" s="199" t="s">
        <v>197</v>
      </c>
      <c r="D51" s="199"/>
      <c r="E51" s="199"/>
      <c r="F51" s="212">
        <v>0.95</v>
      </c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</row>
    <row r="52" spans="1:29">
      <c r="A52" s="199"/>
      <c r="B52" s="204">
        <v>45721</v>
      </c>
      <c r="C52" s="199" t="s">
        <v>162</v>
      </c>
      <c r="D52" s="199"/>
      <c r="E52" s="199"/>
      <c r="F52" s="199" t="s">
        <v>198</v>
      </c>
      <c r="G52" s="205"/>
      <c r="H52" s="227">
        <f>Rentroll!G13</f>
        <v>1142328.75</v>
      </c>
      <c r="I52" s="228">
        <f>H52*12</f>
        <v>13707945</v>
      </c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</row>
    <row r="53" spans="1:29">
      <c r="A53" s="199"/>
      <c r="B53" s="567" t="s">
        <v>199</v>
      </c>
      <c r="C53" s="605"/>
      <c r="D53" s="207"/>
      <c r="E53" s="207"/>
      <c r="F53" s="207" t="s">
        <v>198</v>
      </c>
      <c r="G53" s="207"/>
      <c r="H53" s="207"/>
      <c r="I53" s="229">
        <f>I52</f>
        <v>13707945</v>
      </c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</row>
    <row r="54" spans="1:29">
      <c r="A54" s="199"/>
      <c r="B54" s="199"/>
      <c r="C54" s="199"/>
      <c r="D54" s="199"/>
      <c r="E54" s="199"/>
      <c r="F54" s="199"/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</row>
    <row r="55" spans="1:29">
      <c r="A55" s="199"/>
      <c r="B55" s="199"/>
      <c r="C55" s="570" t="s">
        <v>200</v>
      </c>
      <c r="D55" s="594"/>
      <c r="E55" s="230"/>
      <c r="F55" s="230"/>
      <c r="G55" s="230"/>
      <c r="H55" s="230"/>
      <c r="I55" s="231">
        <f>I53/I47</f>
        <v>8.244508999726799E-2</v>
      </c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</row>
    <row r="56" spans="1:29">
      <c r="A56" s="199"/>
      <c r="B56" s="199"/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</row>
    <row r="57" spans="1:29">
      <c r="A57" s="199"/>
      <c r="B57" s="199"/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</row>
    <row r="58" spans="1:29">
      <c r="A58" s="199"/>
      <c r="B58" s="201">
        <v>6</v>
      </c>
      <c r="C58" s="604" t="s">
        <v>201</v>
      </c>
      <c r="D58" s="594"/>
      <c r="E58" s="202"/>
      <c r="F58" s="199"/>
      <c r="G58" s="199" t="s">
        <v>202</v>
      </c>
      <c r="H58" s="199"/>
      <c r="I58" s="199"/>
      <c r="J58" s="199"/>
      <c r="K58" s="199"/>
      <c r="L58" s="19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199"/>
    </row>
    <row r="59" spans="1:29">
      <c r="A59" s="199"/>
      <c r="B59" s="204">
        <v>45663</v>
      </c>
      <c r="C59" s="199" t="s">
        <v>203</v>
      </c>
      <c r="D59" s="199"/>
      <c r="E59" s="199"/>
      <c r="F59" s="232">
        <v>0.3</v>
      </c>
      <c r="G59" s="228">
        <f>F36+F39</f>
        <v>63910906.225359999</v>
      </c>
      <c r="H59" s="199"/>
      <c r="I59" s="228">
        <f t="shared" ref="I59:I60" si="0">G59*F59</f>
        <v>19173271.867608</v>
      </c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</row>
    <row r="60" spans="1:29">
      <c r="A60" s="199"/>
      <c r="B60" s="204">
        <v>45694</v>
      </c>
      <c r="C60" s="199" t="s">
        <v>204</v>
      </c>
      <c r="D60" s="199"/>
      <c r="E60" s="199"/>
      <c r="F60" s="233">
        <v>0.7</v>
      </c>
      <c r="G60" s="228">
        <f>F36+F39</f>
        <v>63910906.225359999</v>
      </c>
      <c r="H60" s="199"/>
      <c r="I60" s="228">
        <f t="shared" si="0"/>
        <v>44737634.357751995</v>
      </c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</row>
    <row r="61" spans="1:29">
      <c r="A61" s="199"/>
      <c r="B61" s="211"/>
      <c r="C61" s="199"/>
      <c r="D61" s="199"/>
      <c r="E61" s="199"/>
      <c r="F61" s="199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</row>
    <row r="62" spans="1:29">
      <c r="A62" s="199"/>
      <c r="B62" s="199"/>
      <c r="C62" s="199"/>
      <c r="D62" s="199"/>
      <c r="E62" s="199"/>
      <c r="F62" s="199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</row>
    <row r="63" spans="1:29">
      <c r="A63" s="199"/>
      <c r="B63" s="234">
        <v>7</v>
      </c>
      <c r="C63" s="235" t="s">
        <v>205</v>
      </c>
      <c r="D63" s="235"/>
      <c r="E63" s="235"/>
      <c r="F63" s="236"/>
      <c r="G63" s="237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</row>
    <row r="64" spans="1:29">
      <c r="A64" s="199"/>
      <c r="B64" s="238">
        <v>45664</v>
      </c>
      <c r="C64" s="199" t="s">
        <v>206</v>
      </c>
      <c r="D64" s="199"/>
      <c r="E64" s="199"/>
      <c r="F64" s="199"/>
      <c r="G64" s="239">
        <v>7.0000000000000007E-2</v>
      </c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  <c r="X64" s="199"/>
      <c r="Y64" s="199"/>
      <c r="Z64" s="199"/>
      <c r="AA64" s="199"/>
      <c r="AB64" s="199"/>
      <c r="AC64" s="199"/>
    </row>
    <row r="65" spans="1:29">
      <c r="A65" s="199"/>
      <c r="B65" s="238">
        <v>45695</v>
      </c>
      <c r="C65" s="199" t="s">
        <v>207</v>
      </c>
      <c r="D65" s="199"/>
      <c r="E65" s="199"/>
      <c r="F65" s="199"/>
      <c r="G65" s="240">
        <f>Businessplan_prodej!J31</f>
        <v>202550557.14285713</v>
      </c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199"/>
      <c r="AB65" s="199"/>
      <c r="AC65" s="199"/>
    </row>
    <row r="66" spans="1:29">
      <c r="A66" s="199"/>
      <c r="B66" s="241">
        <v>45723</v>
      </c>
      <c r="C66" s="199" t="s">
        <v>208</v>
      </c>
      <c r="D66" s="199"/>
      <c r="E66" s="199"/>
      <c r="F66" s="242">
        <v>5.0000000000000001E-3</v>
      </c>
      <c r="G66" s="243">
        <f>G65*F66</f>
        <v>1012752.7857142857</v>
      </c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99"/>
      <c r="AB66" s="199"/>
      <c r="AC66" s="199"/>
    </row>
    <row r="67" spans="1:29">
      <c r="A67" s="199"/>
      <c r="B67" s="241">
        <v>45754</v>
      </c>
      <c r="C67" s="199" t="s">
        <v>209</v>
      </c>
      <c r="D67" s="199"/>
      <c r="E67" s="199"/>
      <c r="F67" s="199"/>
      <c r="G67" s="244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199"/>
    </row>
    <row r="68" spans="1:29">
      <c r="A68" s="199"/>
      <c r="B68" s="245"/>
      <c r="C68" s="199"/>
      <c r="D68" s="199"/>
      <c r="E68" s="199"/>
      <c r="F68" s="199"/>
      <c r="G68" s="244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199"/>
      <c r="AC68" s="199"/>
    </row>
    <row r="69" spans="1:29">
      <c r="A69" s="199"/>
      <c r="B69" s="238">
        <v>45784</v>
      </c>
      <c r="C69" s="199" t="s">
        <v>210</v>
      </c>
      <c r="D69" s="199"/>
      <c r="E69" s="199"/>
      <c r="F69" s="199"/>
      <c r="G69" s="240">
        <f>G65-I47</f>
        <v>36282984.380740613</v>
      </c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199"/>
      <c r="AB69" s="199"/>
      <c r="AC69" s="199"/>
    </row>
    <row r="70" spans="1:29">
      <c r="A70" s="199"/>
      <c r="B70" s="238">
        <v>45815</v>
      </c>
      <c r="C70" s="199" t="s">
        <v>211</v>
      </c>
      <c r="D70" s="199"/>
      <c r="E70" s="199"/>
      <c r="F70" s="199"/>
      <c r="G70" s="244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  <c r="AA70" s="199"/>
      <c r="AB70" s="199"/>
      <c r="AC70" s="199"/>
    </row>
    <row r="71" spans="1:29">
      <c r="A71" s="199"/>
      <c r="B71" s="238">
        <v>45845</v>
      </c>
      <c r="C71" s="199" t="s">
        <v>212</v>
      </c>
      <c r="D71" s="199"/>
      <c r="E71" s="199"/>
      <c r="F71" s="199"/>
      <c r="G71" s="239">
        <f>G69/G59</f>
        <v>0.56771193718957846</v>
      </c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199"/>
    </row>
    <row r="72" spans="1:29">
      <c r="A72" s="199"/>
      <c r="B72" s="245"/>
      <c r="C72" s="199"/>
      <c r="D72" s="199"/>
      <c r="E72" s="199"/>
      <c r="F72" s="199"/>
      <c r="G72" s="244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  <c r="X72" s="199"/>
      <c r="Y72" s="199"/>
      <c r="Z72" s="199"/>
      <c r="AA72" s="199"/>
      <c r="AB72" s="199"/>
      <c r="AC72" s="199"/>
    </row>
    <row r="73" spans="1:29">
      <c r="A73" s="199"/>
      <c r="B73" s="238">
        <v>45876</v>
      </c>
      <c r="C73" s="199" t="s">
        <v>213</v>
      </c>
      <c r="D73" s="199"/>
      <c r="E73" s="199"/>
      <c r="F73" s="199"/>
      <c r="G73" s="244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  <c r="X73" s="199"/>
      <c r="Y73" s="199"/>
      <c r="Z73" s="199"/>
      <c r="AA73" s="199"/>
      <c r="AB73" s="199"/>
      <c r="AC73" s="199"/>
    </row>
    <row r="74" spans="1:29">
      <c r="A74" s="199"/>
      <c r="B74" s="238">
        <v>45907</v>
      </c>
      <c r="C74" s="199" t="s">
        <v>214</v>
      </c>
      <c r="D74" s="199"/>
      <c r="E74" s="199"/>
      <c r="F74" s="199"/>
      <c r="G74" s="246">
        <v>0</v>
      </c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199"/>
      <c r="AB74" s="199"/>
      <c r="AC74" s="199"/>
    </row>
    <row r="75" spans="1:29">
      <c r="A75" s="199"/>
      <c r="B75" s="238">
        <v>45937</v>
      </c>
      <c r="C75" s="603" t="s">
        <v>215</v>
      </c>
      <c r="D75" s="594"/>
      <c r="E75" s="199"/>
      <c r="F75" s="205"/>
      <c r="G75" s="246">
        <f>G74+G69</f>
        <v>36282984.380740613</v>
      </c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199"/>
      <c r="AB75" s="199"/>
      <c r="AC75" s="199"/>
    </row>
    <row r="76" spans="1:29">
      <c r="A76" s="199"/>
      <c r="B76" s="247"/>
      <c r="C76" s="248"/>
      <c r="D76" s="248"/>
      <c r="E76" s="248"/>
      <c r="F76" s="248"/>
      <c r="G76" s="239">
        <f>G75/G59</f>
        <v>0.56771193718957846</v>
      </c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</row>
    <row r="77" spans="1:29">
      <c r="A77" s="199"/>
      <c r="B77" s="199"/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  <c r="X77" s="199"/>
      <c r="Y77" s="199"/>
      <c r="Z77" s="199"/>
      <c r="AA77" s="199"/>
      <c r="AB77" s="199"/>
      <c r="AC77" s="199"/>
    </row>
    <row r="78" spans="1:29">
      <c r="A78" s="199"/>
      <c r="B78" s="199"/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199"/>
      <c r="Y78" s="199"/>
      <c r="Z78" s="199"/>
      <c r="AA78" s="199"/>
      <c r="AB78" s="199"/>
      <c r="AC78" s="199"/>
    </row>
    <row r="79" spans="1:29">
      <c r="A79" s="199"/>
      <c r="B79" s="199"/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199"/>
      <c r="Y79" s="199"/>
      <c r="Z79" s="199"/>
      <c r="AA79" s="199"/>
      <c r="AB79" s="199"/>
      <c r="AC79" s="199"/>
    </row>
    <row r="80" spans="1:29">
      <c r="A80" s="199"/>
      <c r="B80" s="249">
        <v>8</v>
      </c>
      <c r="C80" s="606" t="s">
        <v>216</v>
      </c>
      <c r="D80" s="594"/>
      <c r="E80" s="250"/>
      <c r="F80" s="250"/>
      <c r="G80" s="250"/>
      <c r="H80" s="250"/>
      <c r="I80" s="251" t="s">
        <v>217</v>
      </c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199"/>
      <c r="AC80" s="199"/>
    </row>
    <row r="81" spans="1:29">
      <c r="A81" s="199"/>
      <c r="B81" s="252">
        <v>45665</v>
      </c>
      <c r="C81" s="606" t="s">
        <v>218</v>
      </c>
      <c r="D81" s="594"/>
      <c r="E81" s="250" t="s">
        <v>219</v>
      </c>
      <c r="F81" s="219">
        <v>0.7</v>
      </c>
      <c r="G81" s="253">
        <f>G75</f>
        <v>36282984.380740613</v>
      </c>
      <c r="H81" s="253">
        <f>G81*F81</f>
        <v>25398089.066518426</v>
      </c>
      <c r="I81" s="254">
        <f>H81/I60</f>
        <v>0.56771193718957846</v>
      </c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199"/>
      <c r="Y81" s="199"/>
      <c r="Z81" s="199"/>
      <c r="AA81" s="199"/>
      <c r="AB81" s="199"/>
      <c r="AC81" s="199"/>
    </row>
    <row r="82" spans="1:29">
      <c r="A82" s="199"/>
      <c r="B82" s="249"/>
      <c r="C82" s="250"/>
      <c r="D82" s="250"/>
      <c r="E82" s="250" t="s">
        <v>220</v>
      </c>
      <c r="F82" s="250"/>
      <c r="G82" s="250"/>
      <c r="H82" s="255">
        <v>0</v>
      </c>
      <c r="I82" s="254">
        <v>0</v>
      </c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199"/>
      <c r="Y82" s="199"/>
      <c r="Z82" s="199"/>
      <c r="AA82" s="199"/>
      <c r="AB82" s="199"/>
      <c r="AC82" s="199"/>
    </row>
    <row r="83" spans="1:29">
      <c r="A83" s="199"/>
      <c r="B83" s="250"/>
      <c r="C83" s="250"/>
      <c r="D83" s="250"/>
      <c r="E83" s="224" t="s">
        <v>221</v>
      </c>
      <c r="F83" s="256">
        <v>18</v>
      </c>
      <c r="G83" s="224" t="s">
        <v>180</v>
      </c>
      <c r="H83" s="257">
        <f>H81</f>
        <v>25398089.066518426</v>
      </c>
      <c r="I83" s="258">
        <f>I81+I82</f>
        <v>0.56771193718957846</v>
      </c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</row>
    <row r="84" spans="1:29">
      <c r="A84" s="199"/>
      <c r="B84" s="250"/>
      <c r="C84" s="250"/>
      <c r="D84" s="250"/>
      <c r="E84" s="259" t="s">
        <v>222</v>
      </c>
      <c r="F84" s="259"/>
      <c r="G84" s="259"/>
      <c r="H84" s="259"/>
      <c r="I84" s="259"/>
      <c r="J84" s="199"/>
      <c r="K84" s="260">
        <f>H83/(H83+H90)</f>
        <v>0.59662528068816101</v>
      </c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199"/>
      <c r="Y84" s="199"/>
      <c r="Z84" s="199"/>
      <c r="AA84" s="199"/>
      <c r="AB84" s="199"/>
      <c r="AC84" s="199"/>
    </row>
    <row r="85" spans="1:29">
      <c r="A85" s="199"/>
      <c r="B85" s="250"/>
      <c r="C85" s="250"/>
      <c r="D85" s="250"/>
      <c r="E85" s="250"/>
      <c r="F85" s="250"/>
      <c r="G85" s="250"/>
      <c r="H85" s="250"/>
      <c r="I85" s="250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</row>
    <row r="86" spans="1:29">
      <c r="A86" s="199"/>
      <c r="B86" s="250"/>
      <c r="C86" s="250"/>
      <c r="D86" s="250"/>
      <c r="E86" s="250"/>
      <c r="F86" s="250"/>
      <c r="G86" s="250"/>
      <c r="H86" s="250"/>
      <c r="I86" s="250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</row>
    <row r="87" spans="1:29">
      <c r="A87" s="199"/>
      <c r="B87" s="252">
        <v>45696</v>
      </c>
      <c r="C87" s="250" t="s">
        <v>223</v>
      </c>
      <c r="D87" s="250"/>
      <c r="E87" s="250" t="s">
        <v>219</v>
      </c>
      <c r="F87" s="219">
        <v>0.3</v>
      </c>
      <c r="G87" s="261">
        <f>G69</f>
        <v>36282984.380740613</v>
      </c>
      <c r="H87" s="253">
        <f>G87*F87</f>
        <v>10884895.314222183</v>
      </c>
      <c r="I87" s="254">
        <f>H87/I59</f>
        <v>0.56771193718957835</v>
      </c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199"/>
      <c r="Y87" s="199"/>
      <c r="Z87" s="199"/>
      <c r="AA87" s="199"/>
      <c r="AB87" s="199"/>
      <c r="AC87" s="199"/>
    </row>
    <row r="88" spans="1:29">
      <c r="A88" s="199"/>
      <c r="B88" s="249"/>
      <c r="C88" s="250"/>
      <c r="D88" s="250"/>
      <c r="E88" s="250" t="s">
        <v>220</v>
      </c>
      <c r="F88" s="250"/>
      <c r="G88" s="250"/>
      <c r="H88" s="255">
        <v>0</v>
      </c>
      <c r="I88" s="254">
        <v>0</v>
      </c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199"/>
      <c r="Y88" s="199"/>
      <c r="Z88" s="199"/>
      <c r="AA88" s="199"/>
      <c r="AB88" s="199"/>
      <c r="AC88" s="199"/>
    </row>
    <row r="89" spans="1:29">
      <c r="A89" s="199"/>
      <c r="B89" s="249"/>
      <c r="C89" s="250"/>
      <c r="D89" s="250"/>
      <c r="E89" s="250" t="s">
        <v>224</v>
      </c>
      <c r="F89" s="250"/>
      <c r="G89" s="250"/>
      <c r="H89" s="262">
        <f>SUM(H94:H97)</f>
        <v>6286598.0499999998</v>
      </c>
      <c r="I89" s="250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  <c r="X89" s="199"/>
      <c r="Y89" s="199"/>
      <c r="Z89" s="199"/>
      <c r="AA89" s="199"/>
      <c r="AB89" s="199"/>
      <c r="AC89" s="199"/>
    </row>
    <row r="90" spans="1:29">
      <c r="A90" s="199"/>
      <c r="B90" s="250"/>
      <c r="C90" s="250"/>
      <c r="D90" s="250"/>
      <c r="E90" s="224" t="s">
        <v>221</v>
      </c>
      <c r="F90" s="256">
        <v>18</v>
      </c>
      <c r="G90" s="224" t="s">
        <v>180</v>
      </c>
      <c r="H90" s="257">
        <f>H87+H88+H89</f>
        <v>17171493.364222184</v>
      </c>
      <c r="I90" s="258">
        <f>(H87+H88)/I59</f>
        <v>0.56771193718957835</v>
      </c>
      <c r="J90" s="199"/>
      <c r="K90" s="260">
        <f>H90/(H90+H83)</f>
        <v>0.40337471931183894</v>
      </c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  <c r="X90" s="199"/>
      <c r="Y90" s="199"/>
      <c r="Z90" s="199"/>
      <c r="AA90" s="199"/>
      <c r="AB90" s="199"/>
      <c r="AC90" s="199"/>
    </row>
    <row r="91" spans="1:29">
      <c r="A91" s="199"/>
      <c r="B91" s="250"/>
      <c r="C91" s="250"/>
      <c r="D91" s="250"/>
      <c r="E91" s="259" t="s">
        <v>222</v>
      </c>
      <c r="F91" s="259"/>
      <c r="G91" s="259"/>
      <c r="H91" s="259"/>
      <c r="I91" s="25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199"/>
      <c r="Y91" s="199"/>
      <c r="Z91" s="199"/>
      <c r="AA91" s="199"/>
      <c r="AB91" s="199"/>
      <c r="AC91" s="199"/>
    </row>
    <row r="92" spans="1:29">
      <c r="A92" s="199"/>
      <c r="B92" s="199"/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  <c r="X92" s="199"/>
      <c r="Y92" s="199"/>
      <c r="Z92" s="199"/>
      <c r="AA92" s="199"/>
      <c r="AB92" s="199"/>
      <c r="AC92" s="199"/>
    </row>
    <row r="93" spans="1:29">
      <c r="A93" s="199"/>
      <c r="B93" s="199"/>
      <c r="C93" s="199"/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199"/>
      <c r="Y93" s="199"/>
      <c r="Z93" s="199"/>
      <c r="AA93" s="199"/>
      <c r="AB93" s="199"/>
      <c r="AC93" s="199"/>
    </row>
    <row r="94" spans="1:29">
      <c r="A94" s="199"/>
      <c r="B94" s="199"/>
      <c r="C94" s="199"/>
      <c r="D94" s="199"/>
      <c r="E94" s="250" t="str">
        <f>C9</f>
        <v>pre-acquisition analysis</v>
      </c>
      <c r="F94" s="250"/>
      <c r="G94" s="250"/>
      <c r="H94" s="263">
        <f t="shared" ref="H94:H95" si="1">I9</f>
        <v>250000</v>
      </c>
      <c r="I94" s="264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  <c r="X94" s="199"/>
      <c r="Y94" s="199"/>
      <c r="Z94" s="199"/>
      <c r="AA94" s="199"/>
      <c r="AB94" s="199"/>
      <c r="AC94" s="199"/>
    </row>
    <row r="95" spans="1:29">
      <c r="A95" s="199"/>
      <c r="B95" s="199"/>
      <c r="C95" s="199"/>
      <c r="D95" s="199"/>
      <c r="E95" s="250" t="s">
        <v>225</v>
      </c>
      <c r="F95" s="250"/>
      <c r="G95" s="250"/>
      <c r="H95" s="263">
        <f t="shared" si="1"/>
        <v>1500000</v>
      </c>
      <c r="I95" s="264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199"/>
      <c r="Y95" s="199"/>
      <c r="Z95" s="199"/>
      <c r="AA95" s="199"/>
      <c r="AB95" s="199"/>
      <c r="AC95" s="199"/>
    </row>
    <row r="96" spans="1:29">
      <c r="A96" s="199"/>
      <c r="B96" s="199"/>
      <c r="C96" s="199"/>
      <c r="D96" s="199"/>
      <c r="E96" s="250" t="s">
        <v>226</v>
      </c>
      <c r="F96" s="250"/>
      <c r="G96" s="250"/>
      <c r="H96" s="265">
        <f>I28</f>
        <v>2363638.0499999998</v>
      </c>
      <c r="I96" s="264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</row>
    <row r="97" spans="1:29">
      <c r="A97" s="199"/>
      <c r="B97" s="199"/>
      <c r="C97" s="199"/>
      <c r="D97" s="199"/>
      <c r="E97" s="250" t="s">
        <v>172</v>
      </c>
      <c r="F97" s="250"/>
      <c r="G97" s="250"/>
      <c r="H97" s="266">
        <f>I25</f>
        <v>2172960</v>
      </c>
      <c r="I97" s="264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  <c r="AA97" s="199"/>
      <c r="AB97" s="199"/>
      <c r="AC97" s="199"/>
    </row>
    <row r="98" spans="1:29">
      <c r="A98" s="199"/>
      <c r="B98" s="19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</row>
    <row r="99" spans="1:29">
      <c r="A99" s="199"/>
      <c r="B99" s="199"/>
      <c r="C99" s="199"/>
      <c r="D99" s="199"/>
      <c r="E99" s="199"/>
      <c r="F99" s="199"/>
      <c r="G99" s="199"/>
      <c r="H99" s="267">
        <f>SUM(H94:H97)</f>
        <v>6286598.0499999998</v>
      </c>
      <c r="I99" s="218">
        <f>H97/12</f>
        <v>181080</v>
      </c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</row>
  </sheetData>
  <mergeCells count="23">
    <mergeCell ref="B1:C1"/>
    <mergeCell ref="B3:D3"/>
    <mergeCell ref="C6:D6"/>
    <mergeCell ref="C7:F7"/>
    <mergeCell ref="C9:F9"/>
    <mergeCell ref="B12:C12"/>
    <mergeCell ref="C15:D15"/>
    <mergeCell ref="B19:C19"/>
    <mergeCell ref="C22:D22"/>
    <mergeCell ref="D23:E23"/>
    <mergeCell ref="C24:D24"/>
    <mergeCell ref="C27:E27"/>
    <mergeCell ref="C28:E28"/>
    <mergeCell ref="C32:E32"/>
    <mergeCell ref="C80:D80"/>
    <mergeCell ref="C81:D81"/>
    <mergeCell ref="B29:C29"/>
    <mergeCell ref="B44:C44"/>
    <mergeCell ref="C47:E47"/>
    <mergeCell ref="B53:C53"/>
    <mergeCell ref="C55:D55"/>
    <mergeCell ref="C58:D58"/>
    <mergeCell ref="C75:D7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EH179"/>
  <sheetViews>
    <sheetView tabSelected="1" workbookViewId="0">
      <pane xSplit="3" ySplit="4" topLeftCell="D5" activePane="bottomRight" state="frozen"/>
      <selection pane="bottomRight" activeCell="X23" sqref="X23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hidden="1" customWidth="1" outlineLevel="1"/>
    <col min="6" max="13" width="6.5" hidden="1" customWidth="1" outlineLevel="2"/>
    <col min="14" max="14" width="7.875" hidden="1" customWidth="1" outlineLevel="2"/>
    <col min="15" max="15" width="10.5" hidden="1" customWidth="1" outlineLevel="2"/>
    <col min="16" max="16" width="15.125" customWidth="1" outlineLevel="2"/>
    <col min="17" max="17" width="7.125" customWidth="1" outlineLevel="1"/>
    <col min="18" max="18" width="6.5" customWidth="1" outlineLevel="2"/>
    <col min="19" max="20" width="10.125" customWidth="1" outlineLevel="2"/>
    <col min="21" max="21" width="11.375" customWidth="1" outlineLevel="2"/>
    <col min="22" max="22" width="11" customWidth="1" outlineLevel="2"/>
    <col min="23" max="23" width="10.875" customWidth="1" outlineLevel="2"/>
    <col min="24" max="28" width="11.625" customWidth="1" outlineLevel="2"/>
    <col min="29" max="29" width="11.625" customWidth="1" outlineLevel="1"/>
    <col min="30" max="34" width="11.625" customWidth="1" outlineLevel="2"/>
    <col min="35" max="35" width="13.875" customWidth="1" outlineLevel="2"/>
    <col min="36" max="40" width="5.625" customWidth="1" outlineLevel="2"/>
    <col min="41" max="41" width="5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25" collapsed="1"/>
    <col min="80" max="82" width="12.625" hidden="1" outlineLevel="1"/>
  </cols>
  <sheetData>
    <row r="1" spans="1:138">
      <c r="A1" s="268"/>
      <c r="B1" s="269" t="s">
        <v>227</v>
      </c>
      <c r="C1" s="270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271"/>
      <c r="BC1" s="271"/>
      <c r="BD1" s="271"/>
      <c r="BE1" s="271"/>
      <c r="BF1" s="271"/>
      <c r="BG1" s="271"/>
      <c r="BH1" s="271"/>
      <c r="BI1" s="271"/>
      <c r="BJ1" s="271"/>
      <c r="BK1" s="271"/>
      <c r="BL1" s="271"/>
      <c r="BM1" s="271"/>
      <c r="BN1" s="271"/>
      <c r="BO1" s="271"/>
      <c r="BP1" s="271"/>
      <c r="BQ1" s="271"/>
      <c r="BR1" s="271"/>
      <c r="BS1" s="271"/>
      <c r="BT1" s="271"/>
      <c r="BU1" s="271"/>
      <c r="BV1" s="271"/>
      <c r="BW1" s="271"/>
      <c r="BX1" s="271"/>
      <c r="BY1" s="271"/>
      <c r="BZ1" s="271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</row>
    <row r="2" spans="1:138">
      <c r="A2" s="474"/>
      <c r="B2" s="574" t="s">
        <v>228</v>
      </c>
      <c r="C2" s="599"/>
      <c r="D2" s="474"/>
      <c r="E2" s="579">
        <v>45292</v>
      </c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8"/>
      <c r="Q2" s="588">
        <v>2025</v>
      </c>
      <c r="R2" s="607"/>
      <c r="S2" s="607"/>
      <c r="T2" s="607"/>
      <c r="U2" s="607"/>
      <c r="V2" s="607"/>
      <c r="W2" s="607"/>
      <c r="X2" s="607"/>
      <c r="Y2" s="607"/>
      <c r="Z2" s="607"/>
      <c r="AA2" s="607"/>
      <c r="AB2" s="608"/>
      <c r="AC2" s="588">
        <v>2026</v>
      </c>
      <c r="AD2" s="607"/>
      <c r="AE2" s="607"/>
      <c r="AF2" s="607"/>
      <c r="AG2" s="607"/>
      <c r="AH2" s="607"/>
      <c r="AI2" s="607"/>
      <c r="AJ2" s="607"/>
      <c r="AK2" s="607"/>
      <c r="AL2" s="607"/>
      <c r="AM2" s="607"/>
      <c r="AN2" s="608"/>
      <c r="AO2" s="579">
        <v>46388</v>
      </c>
      <c r="AP2" s="607"/>
      <c r="AQ2" s="607"/>
      <c r="AR2" s="607"/>
      <c r="AS2" s="607"/>
      <c r="AT2" s="607"/>
      <c r="AU2" s="607"/>
      <c r="AV2" s="607"/>
      <c r="AW2" s="607"/>
      <c r="AX2" s="607"/>
      <c r="AY2" s="607"/>
      <c r="AZ2" s="608"/>
      <c r="BA2" s="579">
        <v>46753</v>
      </c>
      <c r="BB2" s="607"/>
      <c r="BC2" s="607"/>
      <c r="BD2" s="607"/>
      <c r="BE2" s="607"/>
      <c r="BF2" s="607"/>
      <c r="BG2" s="607"/>
      <c r="BH2" s="607"/>
      <c r="BI2" s="607"/>
      <c r="BJ2" s="607"/>
      <c r="BK2" s="607"/>
      <c r="BL2" s="608"/>
      <c r="BM2" s="579">
        <v>47119</v>
      </c>
      <c r="BN2" s="607"/>
      <c r="BO2" s="607"/>
      <c r="BP2" s="607"/>
      <c r="BQ2" s="607"/>
      <c r="BR2" s="607"/>
      <c r="BS2" s="607"/>
      <c r="BT2" s="607"/>
      <c r="BU2" s="607"/>
      <c r="BV2" s="607"/>
      <c r="BW2" s="607"/>
      <c r="BX2" s="608"/>
      <c r="BY2" s="585" t="s">
        <v>229</v>
      </c>
      <c r="BZ2" s="599"/>
      <c r="CA2" s="268"/>
      <c r="CB2" s="268"/>
      <c r="CC2" s="268"/>
      <c r="CD2" s="268"/>
      <c r="CE2" s="268"/>
      <c r="CF2" s="268"/>
      <c r="CG2" s="268"/>
      <c r="CH2" s="268"/>
      <c r="CI2" s="268"/>
      <c r="CJ2" s="268"/>
      <c r="CK2" s="268"/>
      <c r="CL2" s="268"/>
      <c r="CM2" s="268"/>
      <c r="CN2" s="268"/>
      <c r="CO2" s="268"/>
      <c r="CP2" s="268"/>
      <c r="CQ2" s="268"/>
      <c r="CR2" s="268"/>
      <c r="CS2" s="268"/>
      <c r="CT2" s="268"/>
      <c r="CU2" s="268"/>
      <c r="CV2" s="268"/>
      <c r="CW2" s="268"/>
      <c r="CX2" s="268"/>
      <c r="CY2" s="268"/>
      <c r="CZ2" s="268"/>
      <c r="DA2" s="268"/>
      <c r="DB2" s="268"/>
      <c r="DC2" s="268"/>
      <c r="DD2" s="268"/>
      <c r="DE2" s="268"/>
      <c r="DF2" s="268"/>
      <c r="DG2" s="268"/>
      <c r="DH2" s="268"/>
      <c r="DI2" s="268"/>
      <c r="DJ2" s="268"/>
      <c r="DK2" s="268"/>
      <c r="DL2" s="268"/>
      <c r="DM2" s="268"/>
      <c r="DN2" s="268"/>
      <c r="DO2" s="268"/>
      <c r="DP2" s="268"/>
      <c r="DQ2" s="268"/>
      <c r="DR2" s="268"/>
      <c r="DS2" s="268"/>
      <c r="DT2" s="268"/>
      <c r="DU2" s="268"/>
      <c r="DV2" s="268"/>
      <c r="DW2" s="268"/>
      <c r="DX2" s="268"/>
      <c r="DY2" s="268"/>
      <c r="DZ2" s="268"/>
      <c r="EA2" s="268"/>
      <c r="EB2" s="268"/>
      <c r="EC2" s="268"/>
      <c r="ED2" s="268"/>
      <c r="EE2" s="268"/>
      <c r="EF2" s="268"/>
      <c r="EG2" s="268"/>
      <c r="EH2" s="268"/>
    </row>
    <row r="3" spans="1:138">
      <c r="A3" s="474"/>
      <c r="B3" s="594"/>
      <c r="C3" s="599"/>
      <c r="D3" s="474"/>
      <c r="E3" s="272" t="str">
        <f>IFERROR(VLOOKUP(TEXT(E4,"mm.yyyy"),HMG!$B$2:$C$1001, 2, FALSE),"")</f>
        <v>zapis KS</v>
      </c>
      <c r="F3" s="272" t="str">
        <f>IFERROR(VLOOKUP(TEXT(F4,"mm.yyyy"),HMG!$B$2:$C$1001, 2, FALSE),"")</f>
        <v/>
      </c>
      <c r="G3" s="272" t="str">
        <f>IFERROR(VLOOKUP(TEXT(G4,"mm.yyyy"),HMG!$B$2:$C$1001, 2, FALSE),"")</f>
        <v/>
      </c>
      <c r="H3" s="272" t="str">
        <f>IFERROR(VLOOKUP(TEXT(H4,"mm.yyyy"),HMG!$B$2:$C$1001, 2, FALSE),"")</f>
        <v/>
      </c>
      <c r="I3" s="272" t="str">
        <f>IFERROR(VLOOKUP(TEXT(I4,"mm.yyyy"),HMG!$B$2:$C$1001, 2, FALSE),"")</f>
        <v/>
      </c>
      <c r="J3" s="272" t="str">
        <f>IFERROR(VLOOKUP(TEXT(J4,"mm.yyyy"),HMG!$B$2:$C$1001, 2, FALSE),"")</f>
        <v/>
      </c>
      <c r="K3" s="272" t="str">
        <f>IFERROR(VLOOKUP(TEXT(K4,"mm.yyyy"),HMG!$B$2:$C$1001, 2, FALSE),"")</f>
        <v/>
      </c>
      <c r="L3" s="272" t="str">
        <f>IFERROR(VLOOKUP(TEXT(L4,"mm.yyyy"),HMG!$B$2:$C$1001, 2, FALSE),"")</f>
        <v/>
      </c>
      <c r="M3" s="272" t="str">
        <f>IFERROR(VLOOKUP(TEXT(M4,"mm.yyyy"),HMG!$B$2:$C$1001, 2, FALSE),"")</f>
        <v/>
      </c>
      <c r="N3" s="272" t="str">
        <f>IFERROR(VLOOKUP(TEXT(N4,"mm.yyyy"),HMG!$B$2:$C$1001, 2, FALSE),"")</f>
        <v/>
      </c>
      <c r="O3" s="272" t="str">
        <f>IFERROR(VLOOKUP(TEXT(O4,"mm.yyyy"),HMG!$B$2:$C$1001, 2, FALSE),"")</f>
        <v/>
      </c>
      <c r="P3" s="272" t="str">
        <f>IFERROR(VLOOKUP(TEXT(P4,"mm.yyyy"),HMG!$B$2:$C$1001, 2, FALSE),"")</f>
        <v/>
      </c>
      <c r="Q3" s="272" t="str">
        <f>IFERROR(VLOOKUP(TEXT(Q4,"mm.yyyy"),HMG!$B$2:$C$1001, 2, FALSE),"")</f>
        <v>zapis KS</v>
      </c>
      <c r="R3" s="272" t="str">
        <f>IFERROR(VLOOKUP(TEXT(R4,"mm.yyyy"),HMG!$B$2:$C$1001, 2, FALSE),"")</f>
        <v/>
      </c>
      <c r="S3" s="272" t="str">
        <f>IFERROR(VLOOKUP(TEXT(S4,"mm.yyyy"),HMG!$B$2:$C$1001, 2, FALSE),"")</f>
        <v/>
      </c>
      <c r="T3" s="272" t="str">
        <f>IFERROR(VLOOKUP(TEXT(T4,"mm.yyyy"),HMG!$B$2:$C$1001, 2, FALSE),"")</f>
        <v/>
      </c>
      <c r="U3" s="272" t="str">
        <f>IFERROR(VLOOKUP(TEXT(U4,"mm.yyyy"),HMG!$B$2:$C$1001, 2, FALSE),"")</f>
        <v/>
      </c>
      <c r="V3" s="272" t="str">
        <f>IFERROR(VLOOKUP(TEXT(V4,"mm.yyyy"),HMG!$B$2:$C$1001, 2, FALSE),"")</f>
        <v/>
      </c>
      <c r="W3" s="272" t="str">
        <f>IFERROR(VLOOKUP(TEXT(W4,"mm.yyyy"),HMG!$B$2:$C$1001, 2, FALSE),"")</f>
        <v/>
      </c>
      <c r="X3" s="272" t="str">
        <f>IFERROR(VLOOKUP(TEXT(X4,"mm.yyyy"),HMG!$B$2:$C$1001, 2, FALSE),"")</f>
        <v/>
      </c>
      <c r="Y3" s="272" t="str">
        <f>IFERROR(VLOOKUP(TEXT(Y4,"mm.yyyy"),HMG!$B$2:$C$1001, 2, FALSE),"")</f>
        <v/>
      </c>
      <c r="Z3" s="272" t="str">
        <f>IFERROR(VLOOKUP(TEXT(Z4,"mm.yyyy"),HMG!$B$2:$C$1001, 2, FALSE),"")</f>
        <v/>
      </c>
      <c r="AA3" s="272" t="str">
        <f>IFERROR(VLOOKUP(TEXT(AA4,"mm.yyyy"),HMG!$B$2:$C$1001, 2, FALSE),"")</f>
        <v/>
      </c>
      <c r="AB3" s="272" t="str">
        <f>IFERROR(VLOOKUP(TEXT(AB4,"mm.yyyy"),HMG!$B$2:$C$1001, 2, FALSE),"")</f>
        <v/>
      </c>
      <c r="AC3" s="272"/>
      <c r="AD3" s="272" t="str">
        <f>IFERROR(VLOOKUP(TEXT(AD4,"mm.yyyy"),HMG!$B$2:$C$1001, 2, FALSE),"")</f>
        <v/>
      </c>
      <c r="AE3" s="272" t="str">
        <f>IFERROR(VLOOKUP(TEXT(AE4,"mm.yyyy"),HMG!$B$2:$C$1001, 2, FALSE),"")</f>
        <v/>
      </c>
      <c r="AF3" s="272" t="str">
        <f>IFERROR(VLOOKUP(TEXT(AF4,"mm.yyyy"),HMG!$B$2:$C$1001, 2, FALSE),"")</f>
        <v/>
      </c>
      <c r="AG3" s="272" t="str">
        <f>IFERROR(VLOOKUP(TEXT(AG4,"mm.yyyy"),HMG!$B$2:$C$1001, 2, FALSE),"")</f>
        <v/>
      </c>
      <c r="AH3" s="272" t="str">
        <f>IFERROR(VLOOKUP(TEXT(AH4,"mm.yyyy"),HMG!$B$2:$C$1001, 2, FALSE),"")</f>
        <v/>
      </c>
      <c r="AI3" s="272" t="str">
        <f>IFERROR(VLOOKUP(TEXT(AI4,"mm.yyyy"),HMG!$B$2:$C$1001, 2, FALSE),"")</f>
        <v/>
      </c>
      <c r="AJ3" s="272" t="str">
        <f>IFERROR(VLOOKUP(TEXT(AJ4,"mm.yyyy"),HMG!$B$2:$C$1001, 2, FALSE),"")</f>
        <v/>
      </c>
      <c r="AK3" s="272" t="str">
        <f>IFERROR(VLOOKUP(TEXT(AK4,"mm.yyyy"),HMG!$B$2:$C$1001, 2, FALSE),"")</f>
        <v/>
      </c>
      <c r="AL3" s="272" t="str">
        <f>IFERROR(VLOOKUP(TEXT(AL4,"mm.yyyy"),HMG!$B$2:$C$1001, 2, FALSE),"")</f>
        <v/>
      </c>
      <c r="AM3" s="272" t="str">
        <f>IFERROR(VLOOKUP(TEXT(AM4,"mm.yyyy"),HMG!$B$2:$C$1001, 2, FALSE),"")</f>
        <v/>
      </c>
      <c r="AN3" s="272" t="str">
        <f>IFERROR(VLOOKUP(TEXT(AN4,"mm.yyyy"),HMG!$B$2:$C$1001, 2, FALSE),"")</f>
        <v/>
      </c>
      <c r="AO3" s="272" t="str">
        <f>IFERROR(VLOOKUP(TEXT(AO4,"mm.yyyy"),HMG!$B$2:$C$1001, 2, FALSE),"")</f>
        <v>zapis KS</v>
      </c>
      <c r="AP3" s="272" t="str">
        <f>IFERROR(VLOOKUP(TEXT(AP4,"mm.yyyy"),HMG!$B$2:$C$1001, 2, FALSE),"")</f>
        <v/>
      </c>
      <c r="AQ3" s="272" t="str">
        <f>IFERROR(VLOOKUP(TEXT(AQ4,"mm.yyyy"),HMG!$B$2:$C$1001, 2, FALSE),"")</f>
        <v/>
      </c>
      <c r="AR3" s="272" t="str">
        <f>IFERROR(VLOOKUP(TEXT(AR4,"mm.yyyy"),HMG!$B$2:$C$1001, 2, FALSE),"")</f>
        <v/>
      </c>
      <c r="AS3" s="272" t="str">
        <f>IFERROR(VLOOKUP(TEXT(AS4,"mm.yyyy"),HMG!$B$2:$C$1001, 2, FALSE),"")</f>
        <v/>
      </c>
      <c r="AT3" s="272" t="str">
        <f>IFERROR(VLOOKUP(TEXT(AT4,"mm.yyyy"),HMG!$B$2:$C$1001, 2, FALSE),"")</f>
        <v/>
      </c>
      <c r="AU3" s="272" t="str">
        <f>IFERROR(VLOOKUP(TEXT(AU4,"mm.yyyy"),HMG!$B$2:$C$1001, 2, FALSE),"")</f>
        <v/>
      </c>
      <c r="AV3" s="272" t="str">
        <f>IFERROR(VLOOKUP(TEXT(AV4,"mm.yyyy"),HMG!$B$2:$C$1001, 2, FALSE),"")</f>
        <v/>
      </c>
      <c r="AW3" s="272" t="str">
        <f>IFERROR(VLOOKUP(TEXT(AW4,"mm.yyyy"),HMG!$B$2:$C$1001, 2, FALSE),"")</f>
        <v/>
      </c>
      <c r="AX3" s="272" t="str">
        <f>IFERROR(VLOOKUP(TEXT(AX4,"mm.yyyy"),HMG!$B$2:$C$1001, 2, FALSE),"")</f>
        <v/>
      </c>
      <c r="AY3" s="272" t="str">
        <f>IFERROR(VLOOKUP(TEXT(AY4,"mm.yyyy"),HMG!$B$2:$C$1001, 2, FALSE),"")</f>
        <v/>
      </c>
      <c r="AZ3" s="272" t="str">
        <f>IFERROR(VLOOKUP(TEXT(AZ4,"mm.yyyy"),HMG!$B$2:$C$1001, 2, FALSE),"")</f>
        <v/>
      </c>
      <c r="BA3" s="272" t="str">
        <f>IFERROR(VLOOKUP(TEXT(BA4,"mm.yyyy"),HMG!$B$2:$C$1001, 2, FALSE),"")</f>
        <v>zapis KS</v>
      </c>
      <c r="BB3" s="272" t="str">
        <f>IFERROR(VLOOKUP(TEXT(BB4,"mm.yyyy"),HMG!$B$2:$C$1001, 2, FALSE),"")</f>
        <v/>
      </c>
      <c r="BC3" s="272" t="str">
        <f>IFERROR(VLOOKUP(TEXT(BC4,"mm.yyyy"),HMG!$B$2:$C$1001, 2, FALSE),"")</f>
        <v/>
      </c>
      <c r="BD3" s="272" t="str">
        <f>IFERROR(VLOOKUP(TEXT(BD4,"mm.yyyy"),HMG!$B$2:$C$1001, 2, FALSE),"")</f>
        <v/>
      </c>
      <c r="BE3" s="272" t="str">
        <f>IFERROR(VLOOKUP(TEXT(BE4,"mm.yyyy"),HMG!$B$2:$C$1001, 2, FALSE),"")</f>
        <v/>
      </c>
      <c r="BF3" s="272" t="str">
        <f>IFERROR(VLOOKUP(TEXT(BF4,"mm.yyyy"),HMG!$B$2:$C$1001, 2, FALSE),"")</f>
        <v/>
      </c>
      <c r="BG3" s="272" t="str">
        <f>IFERROR(VLOOKUP(TEXT(BG4,"mm.yyyy"),HMG!$B$2:$C$1001, 2, FALSE),"")</f>
        <v/>
      </c>
      <c r="BH3" s="272" t="str">
        <f>IFERROR(VLOOKUP(TEXT(BH4,"mm.yyyy"),HMG!$B$2:$C$1001, 2, FALSE),"")</f>
        <v/>
      </c>
      <c r="BI3" s="272" t="str">
        <f>IFERROR(VLOOKUP(TEXT(BI4,"mm.yyyy"),HMG!$B$2:$C$1001, 2, FALSE),"")</f>
        <v/>
      </c>
      <c r="BJ3" s="272" t="str">
        <f>IFERROR(VLOOKUP(TEXT(BJ4,"mm.yyyy"),HMG!$B$2:$C$1001, 2, FALSE),"")</f>
        <v/>
      </c>
      <c r="BK3" s="272" t="str">
        <f>IFERROR(VLOOKUP(TEXT(BK4,"mm.yyyy"),HMG!$B$2:$C$1001, 2, FALSE),"")</f>
        <v/>
      </c>
      <c r="BL3" s="272" t="str">
        <f>IFERROR(VLOOKUP(TEXT(BL4,"mm.yyyy"),HMG!$B$2:$C$1001, 2, FALSE),"")</f>
        <v/>
      </c>
      <c r="BM3" s="272" t="str">
        <f>IFERROR(VLOOKUP(TEXT(BM4,"mm.yyyy"),HMG!$B$2:$C$1001, 2, FALSE),"")</f>
        <v>zapis KS</v>
      </c>
      <c r="BN3" s="272" t="str">
        <f>IFERROR(VLOOKUP(TEXT(BN4,"mm.yyyy"),HMG!$B$2:$C$1001, 2, FALSE),"")</f>
        <v/>
      </c>
      <c r="BO3" s="272" t="str">
        <f>IFERROR(VLOOKUP(TEXT(BO4,"mm.yyyy"),HMG!$B$2:$C$1001, 2, FALSE),"")</f>
        <v/>
      </c>
      <c r="BP3" s="272" t="str">
        <f>IFERROR(VLOOKUP(TEXT(BP4,"mm.yyyy"),HMG!$B$2:$C$1001, 2, FALSE),"")</f>
        <v/>
      </c>
      <c r="BQ3" s="272" t="str">
        <f>IFERROR(VLOOKUP(TEXT(BQ4,"mm.yyyy"),HMG!$B$2:$C$1001, 2, FALSE),"")</f>
        <v/>
      </c>
      <c r="BR3" s="272" t="str">
        <f>IFERROR(VLOOKUP(TEXT(BR4,"mm.yyyy"),HMG!$B$2:$C$1001, 2, FALSE),"")</f>
        <v/>
      </c>
      <c r="BS3" s="272" t="str">
        <f>IFERROR(VLOOKUP(TEXT(BS4,"mm.yyyy"),HMG!$B$2:$C$1001, 2, FALSE),"")</f>
        <v/>
      </c>
      <c r="BT3" s="272" t="str">
        <f>IFERROR(VLOOKUP(TEXT(BT4,"mm.yyyy"),HMG!$B$2:$C$1001, 2, FALSE),"")</f>
        <v/>
      </c>
      <c r="BU3" s="272" t="str">
        <f>IFERROR(VLOOKUP(TEXT(BU4,"mm.yyyy"),HMG!$B$2:$C$1001, 2, FALSE),"")</f>
        <v/>
      </c>
      <c r="BV3" s="272" t="str">
        <f>IFERROR(VLOOKUP(TEXT(BV4,"mm.yyyy"),HMG!$B$2:$C$1001, 2, FALSE),"")</f>
        <v/>
      </c>
      <c r="BW3" s="272" t="str">
        <f>IFERROR(VLOOKUP(TEXT(BW4,"mm.yyyy"),HMG!$B$2:$C$1001, 2, FALSE),"")</f>
        <v/>
      </c>
      <c r="BX3" s="272" t="str">
        <f>IFERROR(VLOOKUP(TEXT(BX4,"mm.yyyy"),HMG!$B$2:$C$1001, 2, FALSE),"")</f>
        <v/>
      </c>
      <c r="BY3" s="594"/>
      <c r="BZ3" s="599"/>
      <c r="CA3" s="268"/>
      <c r="CB3" s="268" t="s">
        <v>230</v>
      </c>
      <c r="CC3" s="268" t="s">
        <v>231</v>
      </c>
      <c r="CD3" s="268"/>
      <c r="CE3" s="268"/>
      <c r="CF3" s="268"/>
      <c r="CG3" s="268"/>
      <c r="CH3" s="268"/>
      <c r="CI3" s="268"/>
      <c r="CJ3" s="268"/>
      <c r="CK3" s="268"/>
      <c r="CL3" s="268"/>
      <c r="CM3" s="268"/>
      <c r="CN3" s="268"/>
      <c r="CO3" s="268"/>
      <c r="CP3" s="268"/>
      <c r="CQ3" s="268"/>
      <c r="CR3" s="268"/>
      <c r="CS3" s="268"/>
      <c r="CT3" s="268"/>
      <c r="CU3" s="268"/>
      <c r="CV3" s="268"/>
      <c r="CW3" s="268"/>
      <c r="CX3" s="268"/>
      <c r="CY3" s="268"/>
      <c r="CZ3" s="268"/>
      <c r="DA3" s="268"/>
      <c r="DB3" s="268"/>
      <c r="DC3" s="268"/>
      <c r="DD3" s="268"/>
      <c r="DE3" s="268"/>
      <c r="DF3" s="268"/>
      <c r="DG3" s="268"/>
      <c r="DH3" s="268"/>
      <c r="DI3" s="268"/>
      <c r="DJ3" s="268"/>
      <c r="DK3" s="268"/>
      <c r="DL3" s="268"/>
      <c r="DM3" s="268"/>
      <c r="DN3" s="268"/>
      <c r="DO3" s="268"/>
      <c r="DP3" s="268"/>
      <c r="DQ3" s="268"/>
      <c r="DR3" s="268"/>
      <c r="DS3" s="268"/>
      <c r="DT3" s="268"/>
      <c r="DU3" s="268"/>
      <c r="DV3" s="268"/>
      <c r="DW3" s="268"/>
      <c r="DX3" s="268"/>
      <c r="DY3" s="268"/>
      <c r="DZ3" s="268"/>
      <c r="EA3" s="268"/>
      <c r="EB3" s="268"/>
      <c r="EC3" s="268"/>
      <c r="ED3" s="268"/>
      <c r="EE3" s="268"/>
      <c r="EF3" s="268"/>
      <c r="EG3" s="268"/>
      <c r="EH3" s="268"/>
    </row>
    <row r="4" spans="1:138">
      <c r="A4" s="474"/>
      <c r="B4" s="597"/>
      <c r="C4" s="598"/>
      <c r="D4" s="507"/>
      <c r="E4" s="273">
        <v>45292</v>
      </c>
      <c r="F4" s="273">
        <v>45323</v>
      </c>
      <c r="G4" s="273">
        <v>45352</v>
      </c>
      <c r="H4" s="273">
        <v>45383</v>
      </c>
      <c r="I4" s="273">
        <v>45413</v>
      </c>
      <c r="J4" s="273">
        <v>45444</v>
      </c>
      <c r="K4" s="273">
        <v>45474</v>
      </c>
      <c r="L4" s="273">
        <v>45505</v>
      </c>
      <c r="M4" s="273">
        <v>45536</v>
      </c>
      <c r="N4" s="273">
        <v>45566</v>
      </c>
      <c r="O4" s="273">
        <v>45597</v>
      </c>
      <c r="P4" s="273">
        <v>45627</v>
      </c>
      <c r="Q4" s="273">
        <v>45658</v>
      </c>
      <c r="R4" s="273">
        <v>45689</v>
      </c>
      <c r="S4" s="273">
        <v>45717</v>
      </c>
      <c r="T4" s="273">
        <v>45748</v>
      </c>
      <c r="U4" s="273">
        <v>45778</v>
      </c>
      <c r="V4" s="273">
        <v>45809</v>
      </c>
      <c r="W4" s="273">
        <v>45839</v>
      </c>
      <c r="X4" s="273">
        <v>45870</v>
      </c>
      <c r="Y4" s="273">
        <v>45901</v>
      </c>
      <c r="Z4" s="273">
        <v>45931</v>
      </c>
      <c r="AA4" s="273">
        <v>45962</v>
      </c>
      <c r="AB4" s="273">
        <v>45992</v>
      </c>
      <c r="AC4" s="273">
        <v>46023</v>
      </c>
      <c r="AD4" s="273">
        <v>46054</v>
      </c>
      <c r="AE4" s="273">
        <v>46082</v>
      </c>
      <c r="AF4" s="273">
        <v>46113</v>
      </c>
      <c r="AG4" s="273">
        <v>46143</v>
      </c>
      <c r="AH4" s="273">
        <v>46174</v>
      </c>
      <c r="AI4" s="273">
        <v>46204</v>
      </c>
      <c r="AJ4" s="273">
        <v>46235</v>
      </c>
      <c r="AK4" s="273">
        <v>46266</v>
      </c>
      <c r="AL4" s="273">
        <v>46296</v>
      </c>
      <c r="AM4" s="273">
        <v>46327</v>
      </c>
      <c r="AN4" s="273">
        <v>46357</v>
      </c>
      <c r="AO4" s="273">
        <v>46388</v>
      </c>
      <c r="AP4" s="273">
        <v>46419</v>
      </c>
      <c r="AQ4" s="273">
        <v>46447</v>
      </c>
      <c r="AR4" s="273">
        <v>46478</v>
      </c>
      <c r="AS4" s="273">
        <v>46508</v>
      </c>
      <c r="AT4" s="273">
        <v>46539</v>
      </c>
      <c r="AU4" s="273">
        <v>46569</v>
      </c>
      <c r="AV4" s="273">
        <v>46600</v>
      </c>
      <c r="AW4" s="273">
        <v>46631</v>
      </c>
      <c r="AX4" s="273">
        <v>46661</v>
      </c>
      <c r="AY4" s="273">
        <v>46692</v>
      </c>
      <c r="AZ4" s="273">
        <v>46722</v>
      </c>
      <c r="BA4" s="273">
        <v>46753</v>
      </c>
      <c r="BB4" s="273">
        <v>46784</v>
      </c>
      <c r="BC4" s="273">
        <v>46813</v>
      </c>
      <c r="BD4" s="273">
        <v>46844</v>
      </c>
      <c r="BE4" s="273">
        <v>46874</v>
      </c>
      <c r="BF4" s="273">
        <v>46905</v>
      </c>
      <c r="BG4" s="273">
        <v>46935</v>
      </c>
      <c r="BH4" s="273">
        <v>46966</v>
      </c>
      <c r="BI4" s="273">
        <v>46997</v>
      </c>
      <c r="BJ4" s="273">
        <v>47027</v>
      </c>
      <c r="BK4" s="273">
        <v>47058</v>
      </c>
      <c r="BL4" s="273">
        <v>47088</v>
      </c>
      <c r="BM4" s="273">
        <v>47119</v>
      </c>
      <c r="BN4" s="273">
        <v>47150</v>
      </c>
      <c r="BO4" s="273">
        <v>47178</v>
      </c>
      <c r="BP4" s="273">
        <v>47209</v>
      </c>
      <c r="BQ4" s="273">
        <v>47239</v>
      </c>
      <c r="BR4" s="273">
        <v>47270</v>
      </c>
      <c r="BS4" s="273">
        <v>47300</v>
      </c>
      <c r="BT4" s="273">
        <v>47331</v>
      </c>
      <c r="BU4" s="273">
        <v>47362</v>
      </c>
      <c r="BV4" s="273">
        <v>47392</v>
      </c>
      <c r="BW4" s="273">
        <v>47423</v>
      </c>
      <c r="BX4" s="273">
        <v>47453</v>
      </c>
      <c r="BY4" s="597"/>
      <c r="BZ4" s="598"/>
      <c r="CA4" s="268"/>
      <c r="CB4" s="268" t="s">
        <v>56</v>
      </c>
      <c r="CC4" s="268"/>
      <c r="CD4" s="268"/>
      <c r="CE4" s="268"/>
      <c r="CF4" s="268"/>
      <c r="CG4" s="268"/>
      <c r="CH4" s="268"/>
      <c r="CI4" s="268"/>
      <c r="CJ4" s="268"/>
      <c r="CK4" s="268"/>
      <c r="CL4" s="268"/>
      <c r="CM4" s="268"/>
      <c r="CN4" s="268"/>
      <c r="CO4" s="268"/>
      <c r="CP4" s="268"/>
      <c r="CQ4" s="268"/>
      <c r="CR4" s="268"/>
      <c r="CS4" s="268"/>
      <c r="CT4" s="268"/>
      <c r="CU4" s="268"/>
      <c r="CV4" s="268"/>
      <c r="CW4" s="268"/>
      <c r="CX4" s="268"/>
      <c r="CY4" s="268"/>
      <c r="CZ4" s="268"/>
      <c r="DA4" s="268"/>
      <c r="DB4" s="268"/>
      <c r="DC4" s="268"/>
      <c r="DD4" s="268"/>
      <c r="DE4" s="268"/>
      <c r="DF4" s="268"/>
      <c r="DG4" s="268"/>
      <c r="DH4" s="268"/>
      <c r="DI4" s="268"/>
      <c r="DJ4" s="268"/>
      <c r="DK4" s="268"/>
      <c r="DL4" s="268"/>
      <c r="DM4" s="268"/>
      <c r="DN4" s="268"/>
      <c r="DO4" s="268"/>
      <c r="DP4" s="268"/>
      <c r="DQ4" s="268"/>
      <c r="DR4" s="268"/>
      <c r="DS4" s="268"/>
      <c r="DT4" s="268"/>
      <c r="DU4" s="268"/>
      <c r="DV4" s="268"/>
      <c r="DW4" s="268"/>
      <c r="DX4" s="268"/>
      <c r="DY4" s="268"/>
      <c r="DZ4" s="268"/>
      <c r="EA4" s="268"/>
      <c r="EB4" s="268"/>
      <c r="EC4" s="268"/>
      <c r="ED4" s="268"/>
      <c r="EE4" s="268"/>
      <c r="EF4" s="268"/>
      <c r="EG4" s="268"/>
      <c r="EH4" s="268"/>
    </row>
    <row r="5" spans="1:138">
      <c r="A5" s="474"/>
      <c r="B5" s="575" t="s">
        <v>232</v>
      </c>
      <c r="C5" s="274" t="s">
        <v>233</v>
      </c>
      <c r="D5" s="275" t="s">
        <v>234</v>
      </c>
      <c r="E5" s="276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  <c r="AR5" s="277"/>
      <c r="AS5" s="277"/>
      <c r="AT5" s="277"/>
      <c r="AU5" s="277"/>
      <c r="AV5" s="277"/>
      <c r="AW5" s="277"/>
      <c r="AX5" s="277"/>
      <c r="AY5" s="277"/>
      <c r="AZ5" s="277"/>
      <c r="BA5" s="277"/>
      <c r="BB5" s="277"/>
      <c r="BC5" s="277"/>
      <c r="BD5" s="277"/>
      <c r="BE5" s="277"/>
      <c r="BF5" s="277"/>
      <c r="BG5" s="277"/>
      <c r="BH5" s="277"/>
      <c r="BI5" s="277"/>
      <c r="BJ5" s="277"/>
      <c r="BK5" s="277"/>
      <c r="BL5" s="277"/>
      <c r="BM5" s="277"/>
      <c r="BN5" s="277"/>
      <c r="BO5" s="277"/>
      <c r="BP5" s="277"/>
      <c r="BQ5" s="277"/>
      <c r="BR5" s="277"/>
      <c r="BS5" s="277"/>
      <c r="BT5" s="277"/>
      <c r="BU5" s="277"/>
      <c r="BV5" s="277"/>
      <c r="BW5" s="277"/>
      <c r="BX5" s="278"/>
      <c r="BY5" s="279">
        <f t="shared" ref="BY5:BY16" si="0">SUM(E5:BX5)</f>
        <v>0</v>
      </c>
      <c r="BZ5" s="583">
        <f>SUM(BY5:BY8)</f>
        <v>50000000</v>
      </c>
      <c r="CA5" s="268"/>
      <c r="CB5" s="279">
        <f t="shared" ref="CB5:CB14" si="1">SUM(H5:CA5)</f>
        <v>50000000</v>
      </c>
      <c r="CC5" s="583">
        <f>SUM(CB5:CB8)</f>
        <v>150000000</v>
      </c>
      <c r="CD5" s="268"/>
      <c r="CE5" s="268"/>
      <c r="CF5" s="268"/>
      <c r="CG5" s="268"/>
      <c r="CH5" s="268"/>
      <c r="CI5" s="268"/>
      <c r="CJ5" s="268"/>
      <c r="CK5" s="268"/>
      <c r="CL5" s="268"/>
      <c r="CM5" s="268"/>
      <c r="CN5" s="268"/>
      <c r="CO5" s="268"/>
      <c r="CP5" s="268"/>
      <c r="CQ5" s="268"/>
      <c r="CR5" s="268"/>
      <c r="CS5" s="268"/>
      <c r="CT5" s="268"/>
      <c r="CU5" s="268"/>
      <c r="CV5" s="268"/>
      <c r="CW5" s="268"/>
      <c r="CX5" s="268"/>
      <c r="CY5" s="268"/>
      <c r="CZ5" s="268"/>
      <c r="DA5" s="268"/>
      <c r="DB5" s="268"/>
      <c r="DC5" s="268"/>
      <c r="DD5" s="268"/>
      <c r="DE5" s="268"/>
      <c r="DF5" s="268"/>
      <c r="DG5" s="268"/>
      <c r="DH5" s="268"/>
      <c r="DI5" s="268"/>
      <c r="DJ5" s="268"/>
      <c r="DK5" s="268"/>
      <c r="DL5" s="268"/>
      <c r="DM5" s="268"/>
      <c r="DN5" s="268"/>
      <c r="DO5" s="268"/>
      <c r="DP5" s="268"/>
      <c r="DQ5" s="268"/>
      <c r="DR5" s="268"/>
      <c r="DS5" s="268"/>
      <c r="DT5" s="268"/>
      <c r="DU5" s="268"/>
      <c r="DV5" s="268"/>
      <c r="DW5" s="268"/>
      <c r="DX5" s="268"/>
      <c r="DY5" s="268"/>
      <c r="DZ5" s="268"/>
      <c r="EA5" s="268"/>
      <c r="EB5" s="268"/>
      <c r="EC5" s="268"/>
      <c r="ED5" s="268"/>
      <c r="EE5" s="268"/>
      <c r="EF5" s="268"/>
      <c r="EG5" s="268"/>
      <c r="EH5" s="268"/>
    </row>
    <row r="6" spans="1:138">
      <c r="A6" s="474"/>
      <c r="B6" s="609"/>
      <c r="C6" s="508" t="s">
        <v>235</v>
      </c>
      <c r="D6" s="275" t="s">
        <v>234</v>
      </c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>
        <v>25000000</v>
      </c>
      <c r="V6" s="277">
        <v>6500000</v>
      </c>
      <c r="W6" s="277">
        <v>1000000</v>
      </c>
      <c r="X6" s="277">
        <v>2000000</v>
      </c>
      <c r="Y6" s="277">
        <v>9500000</v>
      </c>
      <c r="Z6" s="277">
        <v>6000000</v>
      </c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4"/>
      <c r="BY6" s="279">
        <f t="shared" si="0"/>
        <v>50000000</v>
      </c>
      <c r="BZ6" s="599"/>
      <c r="CA6" s="268"/>
      <c r="CB6" s="279">
        <f t="shared" si="1"/>
        <v>100000000</v>
      </c>
      <c r="CC6" s="599"/>
      <c r="CD6" s="268"/>
      <c r="CE6" s="268"/>
      <c r="CF6" s="268"/>
      <c r="CG6" s="268"/>
      <c r="CH6" s="268"/>
      <c r="CI6" s="268"/>
      <c r="CJ6" s="268"/>
      <c r="CK6" s="268"/>
      <c r="CL6" s="268"/>
      <c r="CM6" s="268"/>
      <c r="CN6" s="268"/>
      <c r="CO6" s="268"/>
      <c r="CP6" s="268"/>
      <c r="CQ6" s="268"/>
      <c r="CR6" s="268"/>
      <c r="CS6" s="268"/>
      <c r="CT6" s="268"/>
      <c r="CU6" s="268"/>
      <c r="CV6" s="268"/>
      <c r="CW6" s="268"/>
      <c r="CX6" s="268"/>
      <c r="CY6" s="268"/>
      <c r="CZ6" s="268"/>
      <c r="DA6" s="268"/>
      <c r="DB6" s="268"/>
      <c r="DC6" s="268"/>
      <c r="DD6" s="268"/>
      <c r="DE6" s="268"/>
      <c r="DF6" s="268"/>
      <c r="DG6" s="268"/>
      <c r="DH6" s="268"/>
      <c r="DI6" s="268"/>
      <c r="DJ6" s="268"/>
      <c r="DK6" s="268"/>
      <c r="DL6" s="268"/>
      <c r="DM6" s="268"/>
      <c r="DN6" s="268"/>
      <c r="DO6" s="268"/>
      <c r="DP6" s="268"/>
      <c r="DQ6" s="268"/>
      <c r="DR6" s="268"/>
      <c r="DS6" s="268"/>
      <c r="DT6" s="268"/>
      <c r="DU6" s="268"/>
      <c r="DV6" s="268"/>
      <c r="DW6" s="268"/>
      <c r="DX6" s="268"/>
      <c r="DY6" s="268"/>
      <c r="DZ6" s="268"/>
      <c r="EA6" s="268"/>
      <c r="EB6" s="268"/>
      <c r="EC6" s="268"/>
      <c r="ED6" s="268"/>
      <c r="EE6" s="268"/>
      <c r="EF6" s="268"/>
      <c r="EG6" s="268"/>
      <c r="EH6" s="268"/>
    </row>
    <row r="7" spans="1:138">
      <c r="A7" s="474"/>
      <c r="B7" s="609"/>
      <c r="C7" s="508" t="s">
        <v>236</v>
      </c>
      <c r="D7" s="275" t="s">
        <v>234</v>
      </c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277"/>
      <c r="AX7" s="277"/>
      <c r="AY7" s="277"/>
      <c r="AZ7" s="277"/>
      <c r="BA7" s="277"/>
      <c r="BB7" s="277"/>
      <c r="BC7" s="277"/>
      <c r="BD7" s="277"/>
      <c r="BE7" s="277"/>
      <c r="BF7" s="277"/>
      <c r="BG7" s="277"/>
      <c r="BH7" s="277"/>
      <c r="BI7" s="277"/>
      <c r="BJ7" s="277"/>
      <c r="BK7" s="277"/>
      <c r="BL7" s="277"/>
      <c r="BM7" s="277"/>
      <c r="BN7" s="277"/>
      <c r="BO7" s="277"/>
      <c r="BP7" s="277"/>
      <c r="BQ7" s="277"/>
      <c r="BR7" s="277"/>
      <c r="BS7" s="277"/>
      <c r="BT7" s="277"/>
      <c r="BU7" s="277"/>
      <c r="BV7" s="277"/>
      <c r="BW7" s="277"/>
      <c r="BX7" s="274"/>
      <c r="BY7" s="279">
        <f t="shared" si="0"/>
        <v>0</v>
      </c>
      <c r="BZ7" s="599"/>
      <c r="CA7" s="268"/>
      <c r="CB7" s="279">
        <f t="shared" si="1"/>
        <v>0</v>
      </c>
      <c r="CC7" s="599"/>
      <c r="CD7" s="268"/>
      <c r="CE7" s="268"/>
      <c r="CF7" s="268"/>
      <c r="CG7" s="268"/>
      <c r="CH7" s="268"/>
      <c r="CI7" s="268"/>
      <c r="CJ7" s="268"/>
      <c r="CK7" s="268"/>
      <c r="CL7" s="268"/>
      <c r="CM7" s="268"/>
      <c r="CN7" s="268"/>
      <c r="CO7" s="268"/>
      <c r="CP7" s="268"/>
      <c r="CQ7" s="268"/>
      <c r="CR7" s="268"/>
      <c r="CS7" s="268"/>
      <c r="CT7" s="268"/>
      <c r="CU7" s="268"/>
      <c r="CV7" s="268"/>
      <c r="CW7" s="268"/>
      <c r="CX7" s="268"/>
      <c r="CY7" s="268"/>
      <c r="CZ7" s="268"/>
      <c r="DA7" s="268"/>
      <c r="DB7" s="268"/>
      <c r="DC7" s="268"/>
      <c r="DD7" s="268"/>
      <c r="DE7" s="268"/>
      <c r="DF7" s="268"/>
      <c r="DG7" s="268"/>
      <c r="DH7" s="268"/>
      <c r="DI7" s="268"/>
      <c r="DJ7" s="268"/>
      <c r="DK7" s="268"/>
      <c r="DL7" s="268"/>
      <c r="DM7" s="268"/>
      <c r="DN7" s="268"/>
      <c r="DO7" s="268"/>
      <c r="DP7" s="268"/>
      <c r="DQ7" s="268"/>
      <c r="DR7" s="268"/>
      <c r="DS7" s="268"/>
      <c r="DT7" s="268"/>
      <c r="DU7" s="268"/>
      <c r="DV7" s="268"/>
      <c r="DW7" s="268"/>
      <c r="DX7" s="268"/>
      <c r="DY7" s="268"/>
      <c r="DZ7" s="268"/>
      <c r="EA7" s="268"/>
      <c r="EB7" s="268"/>
      <c r="EC7" s="268"/>
      <c r="ED7" s="268"/>
      <c r="EE7" s="268"/>
      <c r="EF7" s="268"/>
      <c r="EG7" s="268"/>
      <c r="EH7" s="268"/>
    </row>
    <row r="8" spans="1:138">
      <c r="A8" s="474"/>
      <c r="B8" s="610"/>
      <c r="C8" s="508" t="s">
        <v>237</v>
      </c>
      <c r="D8" s="509" t="s">
        <v>234</v>
      </c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508"/>
      <c r="BY8" s="510">
        <f t="shared" si="0"/>
        <v>0</v>
      </c>
      <c r="BZ8" s="598"/>
      <c r="CA8" s="268"/>
      <c r="CB8" s="510">
        <f t="shared" si="1"/>
        <v>0</v>
      </c>
      <c r="CC8" s="598"/>
      <c r="CD8" s="268"/>
      <c r="CE8" s="268"/>
      <c r="CF8" s="268"/>
      <c r="CG8" s="268"/>
      <c r="CH8" s="268"/>
      <c r="CI8" s="268"/>
      <c r="CJ8" s="268"/>
      <c r="CK8" s="268"/>
      <c r="CL8" s="268"/>
      <c r="CM8" s="268"/>
      <c r="CN8" s="268"/>
      <c r="CO8" s="268"/>
      <c r="CP8" s="268"/>
      <c r="CQ8" s="268"/>
      <c r="CR8" s="268"/>
      <c r="CS8" s="268"/>
      <c r="CT8" s="268"/>
      <c r="CU8" s="268"/>
      <c r="CV8" s="268"/>
      <c r="CW8" s="268"/>
      <c r="CX8" s="268"/>
      <c r="CY8" s="268"/>
      <c r="CZ8" s="268"/>
      <c r="DA8" s="268"/>
      <c r="DB8" s="268"/>
      <c r="DC8" s="268"/>
      <c r="DD8" s="268"/>
      <c r="DE8" s="268"/>
      <c r="DF8" s="268"/>
      <c r="DG8" s="268"/>
      <c r="DH8" s="268"/>
      <c r="DI8" s="268"/>
      <c r="DJ8" s="268"/>
      <c r="DK8" s="268"/>
      <c r="DL8" s="268"/>
      <c r="DM8" s="268"/>
      <c r="DN8" s="268"/>
      <c r="DO8" s="268"/>
      <c r="DP8" s="268"/>
      <c r="DQ8" s="268"/>
      <c r="DR8" s="268"/>
      <c r="DS8" s="268"/>
      <c r="DT8" s="268"/>
      <c r="DU8" s="268"/>
      <c r="DV8" s="268"/>
      <c r="DW8" s="268"/>
      <c r="DX8" s="268"/>
      <c r="DY8" s="268"/>
      <c r="DZ8" s="268"/>
      <c r="EA8" s="268"/>
      <c r="EB8" s="268"/>
      <c r="EC8" s="268"/>
      <c r="ED8" s="268"/>
      <c r="EE8" s="268"/>
      <c r="EF8" s="268"/>
      <c r="EG8" s="268"/>
      <c r="EH8" s="268"/>
    </row>
    <row r="9" spans="1:138">
      <c r="A9" s="474"/>
      <c r="B9" s="575" t="s">
        <v>238</v>
      </c>
      <c r="C9" s="278" t="s">
        <v>239</v>
      </c>
      <c r="D9" s="275" t="s">
        <v>234</v>
      </c>
      <c r="E9" s="276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  <c r="AR9" s="276"/>
      <c r="AS9" s="276"/>
      <c r="AT9" s="276"/>
      <c r="AU9" s="276"/>
      <c r="AV9" s="276"/>
      <c r="AW9" s="276"/>
      <c r="AX9" s="276"/>
      <c r="AY9" s="276"/>
      <c r="AZ9" s="276"/>
      <c r="BA9" s="276"/>
      <c r="BB9" s="276"/>
      <c r="BC9" s="276"/>
      <c r="BD9" s="276"/>
      <c r="BE9" s="276"/>
      <c r="BF9" s="276"/>
      <c r="BG9" s="276"/>
      <c r="BH9" s="276"/>
      <c r="BI9" s="276"/>
      <c r="BJ9" s="276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8"/>
      <c r="BY9" s="279">
        <f t="shared" si="0"/>
        <v>0</v>
      </c>
      <c r="BZ9" s="583">
        <f>SUM(BY9:BY11)</f>
        <v>95021250</v>
      </c>
      <c r="CA9" s="268"/>
      <c r="CB9" s="279">
        <f t="shared" si="1"/>
        <v>95021250</v>
      </c>
      <c r="CC9" s="583">
        <f>SUM(CB9:CB11)</f>
        <v>285063750</v>
      </c>
      <c r="CD9" s="268"/>
      <c r="CE9" s="460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</row>
    <row r="10" spans="1:138">
      <c r="A10" s="474"/>
      <c r="B10" s="609"/>
      <c r="C10" s="278" t="s">
        <v>240</v>
      </c>
      <c r="D10" s="275" t="s">
        <v>234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>
        <f t="shared" ref="U10:AH10" si="2">-U61</f>
        <v>0</v>
      </c>
      <c r="V10" s="277">
        <f t="shared" si="2"/>
        <v>0</v>
      </c>
      <c r="W10" s="277">
        <f t="shared" si="2"/>
        <v>0</v>
      </c>
      <c r="X10" s="277">
        <f t="shared" si="2"/>
        <v>0</v>
      </c>
      <c r="Y10" s="277">
        <f t="shared" si="2"/>
        <v>0</v>
      </c>
      <c r="Z10" s="277">
        <f t="shared" si="2"/>
        <v>22916.666666666668</v>
      </c>
      <c r="AA10" s="277">
        <f t="shared" si="2"/>
        <v>73333.333333333328</v>
      </c>
      <c r="AB10" s="277">
        <f t="shared" si="2"/>
        <v>123750</v>
      </c>
      <c r="AC10" s="277">
        <f t="shared" si="2"/>
        <v>174166.66666666666</v>
      </c>
      <c r="AD10" s="277">
        <f t="shared" si="2"/>
        <v>224583.33333333334</v>
      </c>
      <c r="AE10" s="277">
        <f t="shared" si="2"/>
        <v>275000</v>
      </c>
      <c r="AF10" s="277">
        <f t="shared" si="2"/>
        <v>325416.66666666669</v>
      </c>
      <c r="AG10" s="277">
        <f t="shared" si="2"/>
        <v>375833.33333333331</v>
      </c>
      <c r="AH10" s="277">
        <f t="shared" si="2"/>
        <v>426250</v>
      </c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4"/>
      <c r="BY10" s="279">
        <f t="shared" si="0"/>
        <v>2021250</v>
      </c>
      <c r="BZ10" s="599"/>
      <c r="CA10" s="268"/>
      <c r="CB10" s="279">
        <f t="shared" si="1"/>
        <v>4042500</v>
      </c>
      <c r="CC10" s="599"/>
      <c r="CD10" s="268"/>
      <c r="CE10" s="268"/>
      <c r="CF10" s="268"/>
      <c r="CG10" s="268"/>
      <c r="CH10" s="268"/>
      <c r="CI10" s="268"/>
      <c r="CJ10" s="268"/>
      <c r="CK10" s="268"/>
      <c r="CL10" s="268"/>
      <c r="CM10" s="268"/>
      <c r="CN10" s="268"/>
      <c r="CO10" s="268"/>
      <c r="CP10" s="268"/>
      <c r="CQ10" s="268"/>
      <c r="CR10" s="268"/>
      <c r="CS10" s="268"/>
      <c r="CT10" s="268"/>
      <c r="CU10" s="268"/>
      <c r="CV10" s="268"/>
      <c r="CW10" s="268"/>
      <c r="CX10" s="268"/>
      <c r="CY10" s="268"/>
      <c r="CZ10" s="268"/>
      <c r="DA10" s="268"/>
      <c r="DB10" s="268"/>
      <c r="DC10" s="268"/>
      <c r="DD10" s="268"/>
      <c r="DE10" s="268"/>
      <c r="DF10" s="268"/>
      <c r="DG10" s="268"/>
      <c r="DH10" s="268"/>
      <c r="DI10" s="268"/>
      <c r="DJ10" s="268"/>
      <c r="DK10" s="268"/>
      <c r="DL10" s="268"/>
      <c r="DM10" s="268"/>
      <c r="DN10" s="268"/>
      <c r="DO10" s="268"/>
      <c r="DP10" s="268"/>
      <c r="DQ10" s="268"/>
      <c r="DR10" s="268"/>
      <c r="DS10" s="268"/>
      <c r="DT10" s="268"/>
      <c r="DU10" s="268"/>
      <c r="DV10" s="268"/>
      <c r="DW10" s="268"/>
      <c r="DX10" s="268"/>
      <c r="DY10" s="268"/>
      <c r="DZ10" s="268"/>
      <c r="EA10" s="268"/>
      <c r="EB10" s="268"/>
      <c r="EC10" s="268"/>
      <c r="ED10" s="268"/>
      <c r="EE10" s="268"/>
      <c r="EF10" s="268"/>
      <c r="EG10" s="268"/>
      <c r="EH10" s="268"/>
    </row>
    <row r="11" spans="1:138">
      <c r="A11" s="474"/>
      <c r="B11" s="608"/>
      <c r="C11" s="508" t="s">
        <v>241</v>
      </c>
      <c r="D11" s="509" t="s">
        <v>234</v>
      </c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1"/>
      <c r="Z11" s="281">
        <v>5000000</v>
      </c>
      <c r="AA11" s="281">
        <v>11000000</v>
      </c>
      <c r="AB11" s="281">
        <v>11000000</v>
      </c>
      <c r="AC11" s="281">
        <v>11000000</v>
      </c>
      <c r="AD11" s="281">
        <v>11000000</v>
      </c>
      <c r="AE11" s="281">
        <v>11000000</v>
      </c>
      <c r="AF11" s="281">
        <v>11000000</v>
      </c>
      <c r="AG11" s="281">
        <v>11000000</v>
      </c>
      <c r="AH11" s="281">
        <v>11000000</v>
      </c>
      <c r="AI11" s="281"/>
      <c r="AJ11" s="280"/>
      <c r="AK11" s="280"/>
      <c r="AL11" s="280"/>
      <c r="AM11" s="280"/>
      <c r="AN11" s="280"/>
      <c r="AO11" s="282"/>
      <c r="AP11" s="280"/>
      <c r="AQ11" s="280"/>
      <c r="AR11" s="280"/>
      <c r="AS11" s="280"/>
      <c r="AT11" s="280"/>
      <c r="AU11" s="280"/>
      <c r="AV11" s="280"/>
      <c r="AW11" s="280"/>
      <c r="AX11" s="280"/>
      <c r="AY11" s="280"/>
      <c r="AZ11" s="280"/>
      <c r="BA11" s="280"/>
      <c r="BB11" s="280"/>
      <c r="BC11" s="280"/>
      <c r="BD11" s="280"/>
      <c r="BE11" s="280"/>
      <c r="BF11" s="280"/>
      <c r="BG11" s="280"/>
      <c r="BH11" s="280"/>
      <c r="BI11" s="280"/>
      <c r="BJ11" s="280"/>
      <c r="BK11" s="280"/>
      <c r="BL11" s="280"/>
      <c r="BM11" s="280"/>
      <c r="BN11" s="280"/>
      <c r="BO11" s="280"/>
      <c r="BP11" s="280"/>
      <c r="BQ11" s="280"/>
      <c r="BR11" s="280"/>
      <c r="BS11" s="280"/>
      <c r="BT11" s="280"/>
      <c r="BU11" s="280"/>
      <c r="BV11" s="280"/>
      <c r="BW11" s="280"/>
      <c r="BX11" s="508"/>
      <c r="BY11" s="510">
        <f t="shared" si="0"/>
        <v>93000000</v>
      </c>
      <c r="BZ11" s="611"/>
      <c r="CA11" s="283"/>
      <c r="CB11" s="510">
        <f t="shared" si="1"/>
        <v>186000000</v>
      </c>
      <c r="CC11" s="611"/>
      <c r="CD11" s="283"/>
      <c r="CE11" s="283"/>
      <c r="CF11" s="284"/>
      <c r="CG11" s="283"/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3"/>
      <c r="CS11" s="283"/>
      <c r="CT11" s="283"/>
      <c r="CU11" s="283"/>
      <c r="CV11" s="283"/>
      <c r="CW11" s="283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3"/>
      <c r="DJ11" s="283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3"/>
      <c r="DV11" s="283"/>
      <c r="DW11" s="283"/>
      <c r="DX11" s="283"/>
      <c r="DY11" s="283"/>
      <c r="DZ11" s="283"/>
      <c r="EA11" s="283"/>
      <c r="EB11" s="283"/>
      <c r="EC11" s="283"/>
      <c r="ED11" s="283"/>
      <c r="EE11" s="283"/>
      <c r="EF11" s="283"/>
      <c r="EG11" s="283"/>
      <c r="EH11" s="283"/>
    </row>
    <row r="12" spans="1:138">
      <c r="A12" s="474"/>
      <c r="B12" s="575" t="s">
        <v>242</v>
      </c>
      <c r="C12" s="274" t="s">
        <v>243</v>
      </c>
      <c r="D12" s="275" t="s">
        <v>234</v>
      </c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  <c r="AR12" s="276"/>
      <c r="AS12" s="276"/>
      <c r="AT12" s="276"/>
      <c r="AU12" s="276"/>
      <c r="AV12" s="276"/>
      <c r="AW12" s="276"/>
      <c r="AX12" s="276"/>
      <c r="AY12" s="276"/>
      <c r="AZ12" s="276"/>
      <c r="BA12" s="276"/>
      <c r="BB12" s="276"/>
      <c r="BC12" s="276"/>
      <c r="BD12" s="276"/>
      <c r="BE12" s="276"/>
      <c r="BF12" s="276"/>
      <c r="BG12" s="276"/>
      <c r="BH12" s="276"/>
      <c r="BI12" s="276"/>
      <c r="BJ12" s="276"/>
      <c r="BK12" s="276"/>
      <c r="BL12" s="276"/>
      <c r="BM12" s="276"/>
      <c r="BN12" s="276"/>
      <c r="BO12" s="276"/>
      <c r="BP12" s="276"/>
      <c r="BQ12" s="276"/>
      <c r="BR12" s="276"/>
      <c r="BS12" s="276"/>
      <c r="BT12" s="276"/>
      <c r="BU12" s="276"/>
      <c r="BV12" s="276"/>
      <c r="BW12" s="276"/>
      <c r="BX12" s="278"/>
      <c r="BY12" s="279">
        <f t="shared" si="0"/>
        <v>0</v>
      </c>
      <c r="BZ12" s="583">
        <f>SUM(BY12:BY16)</f>
        <v>202550557.14285713</v>
      </c>
      <c r="CA12" s="268"/>
      <c r="CB12" s="279">
        <f t="shared" si="1"/>
        <v>202550557.14285713</v>
      </c>
      <c r="CC12" s="583">
        <f>SUM(CB12:CB16)</f>
        <v>623554247.9070034</v>
      </c>
      <c r="CD12" s="268"/>
      <c r="CE12" s="285"/>
      <c r="CF12" s="268"/>
      <c r="CG12" s="268"/>
      <c r="CH12" s="268"/>
      <c r="CI12" s="268"/>
      <c r="CJ12" s="268"/>
      <c r="CK12" s="268"/>
      <c r="CL12" s="268"/>
      <c r="CM12" s="268"/>
      <c r="CN12" s="268"/>
      <c r="CO12" s="268"/>
      <c r="CP12" s="268"/>
      <c r="CQ12" s="268"/>
      <c r="CR12" s="268"/>
      <c r="CS12" s="268"/>
      <c r="CT12" s="268"/>
      <c r="CU12" s="268"/>
      <c r="CV12" s="268"/>
      <c r="CW12" s="268"/>
      <c r="CX12" s="268"/>
      <c r="CY12" s="268"/>
      <c r="CZ12" s="268"/>
      <c r="DA12" s="268"/>
      <c r="DB12" s="268"/>
      <c r="DC12" s="268"/>
      <c r="DD12" s="268"/>
      <c r="DE12" s="268"/>
      <c r="DF12" s="268"/>
      <c r="DG12" s="268"/>
      <c r="DH12" s="268"/>
      <c r="DI12" s="268"/>
      <c r="DJ12" s="268"/>
      <c r="DK12" s="268"/>
      <c r="DL12" s="268"/>
      <c r="DM12" s="268"/>
      <c r="DN12" s="268"/>
      <c r="DO12" s="268"/>
      <c r="DP12" s="268"/>
      <c r="DQ12" s="268"/>
      <c r="DR12" s="268"/>
      <c r="DS12" s="268"/>
      <c r="DT12" s="268"/>
      <c r="DU12" s="268"/>
      <c r="DV12" s="268"/>
      <c r="DW12" s="268"/>
      <c r="DX12" s="268"/>
      <c r="DY12" s="268"/>
      <c r="DZ12" s="268"/>
      <c r="EA12" s="268"/>
      <c r="EB12" s="268"/>
      <c r="EC12" s="268"/>
      <c r="ED12" s="268"/>
      <c r="EE12" s="268"/>
      <c r="EF12" s="268"/>
      <c r="EG12" s="268"/>
      <c r="EH12" s="268"/>
    </row>
    <row r="13" spans="1:138">
      <c r="A13" s="474"/>
      <c r="B13" s="609"/>
      <c r="C13" s="274" t="s">
        <v>244</v>
      </c>
      <c r="D13" s="275" t="s">
        <v>234</v>
      </c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>
        <f>Businessplan_prodej!$J$32</f>
        <v>202550557.14285713</v>
      </c>
      <c r="AJ13" s="276"/>
      <c r="AK13" s="276"/>
      <c r="AL13" s="276"/>
      <c r="AM13" s="276"/>
      <c r="AN13" s="276"/>
      <c r="AO13" s="276"/>
      <c r="AP13" s="276"/>
      <c r="AQ13" s="276"/>
      <c r="AR13" s="276"/>
      <c r="AS13" s="276"/>
      <c r="AT13" s="276"/>
      <c r="AU13" s="276"/>
      <c r="AV13" s="276"/>
      <c r="AW13" s="276"/>
      <c r="AX13" s="276"/>
      <c r="AY13" s="276"/>
      <c r="AZ13" s="276"/>
      <c r="BA13" s="276"/>
      <c r="BB13" s="276"/>
      <c r="BC13" s="276"/>
      <c r="BD13" s="276"/>
      <c r="BE13" s="276"/>
      <c r="BF13" s="276"/>
      <c r="BG13" s="276"/>
      <c r="BH13" s="276"/>
      <c r="BI13" s="276"/>
      <c r="BJ13" s="276"/>
      <c r="BK13" s="276"/>
      <c r="BL13" s="276"/>
      <c r="BM13" s="276"/>
      <c r="BN13" s="276"/>
      <c r="BO13" s="276"/>
      <c r="BP13" s="276"/>
      <c r="BQ13" s="276"/>
      <c r="BR13" s="276"/>
      <c r="BS13" s="276"/>
      <c r="BT13" s="276"/>
      <c r="BU13" s="276"/>
      <c r="BV13" s="276"/>
      <c r="BW13" s="276"/>
      <c r="BX13" s="278"/>
      <c r="BY13" s="279">
        <f t="shared" si="0"/>
        <v>202550557.14285713</v>
      </c>
      <c r="BZ13" s="599"/>
      <c r="CA13" s="268"/>
      <c r="CB13" s="279">
        <f t="shared" si="1"/>
        <v>405101114.28571427</v>
      </c>
      <c r="CC13" s="599"/>
      <c r="CD13" s="268"/>
      <c r="CE13" s="460"/>
      <c r="CF13" s="268"/>
      <c r="CG13" s="268"/>
      <c r="CH13" s="268"/>
      <c r="CI13" s="268"/>
      <c r="CJ13" s="268"/>
      <c r="CK13" s="268"/>
      <c r="CL13" s="268"/>
      <c r="CM13" s="268"/>
      <c r="CN13" s="268"/>
      <c r="CO13" s="268"/>
      <c r="CP13" s="268"/>
      <c r="CQ13" s="268"/>
      <c r="CR13" s="268"/>
      <c r="CS13" s="268"/>
      <c r="CT13" s="268"/>
      <c r="CU13" s="268"/>
      <c r="CV13" s="268"/>
      <c r="CW13" s="268"/>
      <c r="CX13" s="268"/>
      <c r="CY13" s="268"/>
      <c r="CZ13" s="268"/>
      <c r="DA13" s="268"/>
      <c r="DB13" s="268"/>
      <c r="DC13" s="268"/>
      <c r="DD13" s="268"/>
      <c r="DE13" s="268"/>
      <c r="DF13" s="268"/>
      <c r="DG13" s="268"/>
      <c r="DH13" s="268"/>
      <c r="DI13" s="268"/>
      <c r="DJ13" s="268"/>
      <c r="DK13" s="268"/>
      <c r="DL13" s="268"/>
      <c r="DM13" s="268"/>
      <c r="DN13" s="268"/>
      <c r="DO13" s="268"/>
      <c r="DP13" s="268"/>
      <c r="DQ13" s="268"/>
      <c r="DR13" s="268"/>
      <c r="DS13" s="268"/>
      <c r="DT13" s="268"/>
      <c r="DU13" s="268"/>
      <c r="DV13" s="268"/>
      <c r="DW13" s="268"/>
      <c r="DX13" s="268"/>
      <c r="DY13" s="268"/>
      <c r="DZ13" s="268"/>
      <c r="EA13" s="268"/>
      <c r="EB13" s="268"/>
      <c r="EC13" s="268"/>
      <c r="ED13" s="268"/>
      <c r="EE13" s="268"/>
      <c r="EF13" s="268"/>
      <c r="EG13" s="268"/>
      <c r="EH13" s="268"/>
    </row>
    <row r="14" spans="1:138">
      <c r="A14" s="474"/>
      <c r="B14" s="609"/>
      <c r="C14" s="274" t="s">
        <v>7</v>
      </c>
      <c r="D14" s="275" t="s">
        <v>234</v>
      </c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>
        <f>-U15</f>
        <v>4026302.2314049602</v>
      </c>
      <c r="W14" s="277"/>
      <c r="X14" s="277">
        <f t="shared" ref="X14:AH14" si="3">-V15</f>
        <v>1923128.3885950409</v>
      </c>
      <c r="Y14" s="277">
        <f t="shared" si="3"/>
        <v>168113.99306584615</v>
      </c>
      <c r="Z14" s="277">
        <f t="shared" si="3"/>
        <v>417015.95116275502</v>
      </c>
      <c r="AA14" s="277">
        <f t="shared" si="3"/>
        <v>146503.85841675522</v>
      </c>
      <c r="AB14" s="277">
        <f t="shared" si="3"/>
        <v>146503.85841675522</v>
      </c>
      <c r="AC14" s="277">
        <f t="shared" si="3"/>
        <v>104503.85841675522</v>
      </c>
      <c r="AD14" s="277">
        <f t="shared" si="3"/>
        <v>104503.85841675522</v>
      </c>
      <c r="AE14" s="277">
        <f t="shared" si="3"/>
        <v>104503.85841675522</v>
      </c>
      <c r="AF14" s="277">
        <f t="shared" si="3"/>
        <v>104503.85841675522</v>
      </c>
      <c r="AG14" s="277">
        <f t="shared" si="3"/>
        <v>104503.85841675522</v>
      </c>
      <c r="AH14" s="277">
        <f t="shared" si="3"/>
        <v>104503.85841675522</v>
      </c>
      <c r="AI14" s="277">
        <f>-AG15-AH15-AI15</f>
        <v>496696.80765335646</v>
      </c>
      <c r="AJ14" s="277"/>
      <c r="AK14" s="277"/>
      <c r="AL14" s="277"/>
      <c r="AM14" s="277"/>
      <c r="AN14" s="277"/>
      <c r="AO14" s="277"/>
      <c r="AP14" s="277"/>
      <c r="AQ14" s="277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4"/>
      <c r="BY14" s="279">
        <f t="shared" si="0"/>
        <v>7951288.2392159961</v>
      </c>
      <c r="BZ14" s="599"/>
      <c r="CA14" s="268"/>
      <c r="CB14" s="279">
        <f t="shared" si="1"/>
        <v>15902576.478431992</v>
      </c>
      <c r="CC14" s="599"/>
      <c r="CD14" s="268"/>
      <c r="CE14" s="268"/>
      <c r="CF14" s="268"/>
      <c r="CG14" s="268"/>
      <c r="CH14" s="268"/>
      <c r="CI14" s="268"/>
      <c r="CJ14" s="268"/>
      <c r="CK14" s="268"/>
      <c r="CL14" s="268"/>
      <c r="CM14" s="268"/>
      <c r="CN14" s="268"/>
      <c r="CO14" s="268"/>
      <c r="CP14" s="268"/>
      <c r="CQ14" s="268"/>
      <c r="CR14" s="268"/>
      <c r="CS14" s="268"/>
      <c r="CT14" s="268"/>
      <c r="CU14" s="268"/>
      <c r="CV14" s="268"/>
      <c r="CW14" s="268"/>
      <c r="CX14" s="268"/>
      <c r="CY14" s="268"/>
      <c r="CZ14" s="268"/>
      <c r="DA14" s="268"/>
      <c r="DB14" s="268"/>
      <c r="DC14" s="268"/>
      <c r="DD14" s="268"/>
      <c r="DE14" s="268"/>
      <c r="DF14" s="268"/>
      <c r="DG14" s="268"/>
      <c r="DH14" s="268"/>
      <c r="DI14" s="268"/>
      <c r="DJ14" s="268"/>
      <c r="DK14" s="268"/>
      <c r="DL14" s="268"/>
      <c r="DM14" s="268"/>
      <c r="DN14" s="268"/>
      <c r="DO14" s="268"/>
      <c r="DP14" s="268"/>
      <c r="DQ14" s="268"/>
      <c r="DR14" s="268"/>
      <c r="DS14" s="268"/>
      <c r="DT14" s="268"/>
      <c r="DU14" s="268"/>
      <c r="DV14" s="268"/>
      <c r="DW14" s="268"/>
      <c r="DX14" s="268"/>
      <c r="DY14" s="268"/>
      <c r="DZ14" s="268"/>
      <c r="EA14" s="268"/>
      <c r="EB14" s="268"/>
      <c r="EC14" s="268"/>
      <c r="ED14" s="268"/>
      <c r="EE14" s="268"/>
      <c r="EF14" s="268"/>
      <c r="EG14" s="268"/>
      <c r="EH14" s="268"/>
    </row>
    <row r="15" spans="1:138">
      <c r="A15" s="474"/>
      <c r="B15" s="609"/>
      <c r="C15" s="274" t="s">
        <v>7</v>
      </c>
      <c r="D15" s="275" t="s">
        <v>245</v>
      </c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>
        <f>SUM(S18,S33,S39)*1.21-SUM(S18,S33,S39)</f>
        <v>0</v>
      </c>
      <c r="T15" s="277">
        <f>SUM(T33,T39)*1.21-SUM(T33,T39)</f>
        <v>0</v>
      </c>
      <c r="U15" s="277">
        <f>U19*1.21-U19</f>
        <v>-4026302.2314049602</v>
      </c>
      <c r="V15" s="277">
        <f>SUM(V18,V25,V33,V39)*1.21-SUM(V18,V25,V33,V39)</f>
        <v>-1923128.3885950409</v>
      </c>
      <c r="W15" s="277">
        <f t="shared" ref="W15:AI15" si="4">SUM(W18,W25,W33,W39)*1.21-SUM(W18,W25,W33,W39)</f>
        <v>-168113.99306584615</v>
      </c>
      <c r="X15" s="277">
        <f>SUM(X18,X25,X33,X39)*1.21-SUM(X18,X25,X33,X39)</f>
        <v>-417015.95116275502</v>
      </c>
      <c r="Y15" s="277">
        <f t="shared" si="4"/>
        <v>-146503.85841675522</v>
      </c>
      <c r="Z15" s="277">
        <f t="shared" si="4"/>
        <v>-146503.85841675522</v>
      </c>
      <c r="AA15" s="277">
        <f t="shared" si="4"/>
        <v>-104503.85841675522</v>
      </c>
      <c r="AB15" s="277">
        <f t="shared" si="4"/>
        <v>-104503.85841675522</v>
      </c>
      <c r="AC15" s="277">
        <f t="shared" si="4"/>
        <v>-104503.85841675522</v>
      </c>
      <c r="AD15" s="277">
        <f t="shared" si="4"/>
        <v>-104503.85841675522</v>
      </c>
      <c r="AE15" s="277">
        <f t="shared" si="4"/>
        <v>-104503.85841675522</v>
      </c>
      <c r="AF15" s="277">
        <f t="shared" si="4"/>
        <v>-104503.85841675522</v>
      </c>
      <c r="AG15" s="277">
        <f t="shared" si="4"/>
        <v>-104503.85841675522</v>
      </c>
      <c r="AH15" s="277">
        <f t="shared" si="4"/>
        <v>-126833.95591275522</v>
      </c>
      <c r="AI15" s="277">
        <f t="shared" si="4"/>
        <v>-265358.99332384602</v>
      </c>
      <c r="AJ15" s="277"/>
      <c r="AK15" s="277"/>
      <c r="AL15" s="277"/>
      <c r="AM15" s="277"/>
      <c r="AN15" s="277"/>
      <c r="AO15" s="277"/>
      <c r="AP15" s="277"/>
      <c r="AQ15" s="277"/>
      <c r="AR15" s="277"/>
      <c r="AS15" s="277"/>
      <c r="AT15" s="277"/>
      <c r="AU15" s="277"/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77"/>
      <c r="BG15" s="277"/>
      <c r="BH15" s="277"/>
      <c r="BI15" s="277"/>
      <c r="BJ15" s="277"/>
      <c r="BK15" s="277"/>
      <c r="BL15" s="277"/>
      <c r="BM15" s="277"/>
      <c r="BN15" s="277"/>
      <c r="BO15" s="277"/>
      <c r="BP15" s="277"/>
      <c r="BQ15" s="277"/>
      <c r="BR15" s="277"/>
      <c r="BS15" s="277"/>
      <c r="BT15" s="277"/>
      <c r="BU15" s="277"/>
      <c r="BV15" s="277"/>
      <c r="BW15" s="277"/>
      <c r="BX15" s="274"/>
      <c r="BY15" s="279">
        <f t="shared" si="0"/>
        <v>-7951288.2392159952</v>
      </c>
      <c r="BZ15" s="599"/>
      <c r="CA15" s="268"/>
      <c r="CB15" s="286"/>
      <c r="CC15" s="599"/>
      <c r="CD15" s="268"/>
      <c r="CE15" s="268"/>
      <c r="CF15" s="268"/>
      <c r="CG15" s="268"/>
      <c r="CH15" s="268"/>
      <c r="CI15" s="268"/>
      <c r="CJ15" s="268"/>
      <c r="CK15" s="268"/>
      <c r="CL15" s="268"/>
      <c r="CM15" s="268"/>
      <c r="CN15" s="268"/>
      <c r="CO15" s="268"/>
      <c r="CP15" s="268"/>
      <c r="CQ15" s="268"/>
      <c r="CR15" s="268"/>
      <c r="CS15" s="268"/>
      <c r="CT15" s="268"/>
      <c r="CU15" s="268"/>
      <c r="CV15" s="268"/>
      <c r="CW15" s="268"/>
      <c r="CX15" s="268"/>
      <c r="CY15" s="268"/>
      <c r="CZ15" s="268"/>
      <c r="DA15" s="268"/>
      <c r="DB15" s="268"/>
      <c r="DC15" s="268"/>
      <c r="DD15" s="268"/>
      <c r="DE15" s="268"/>
      <c r="DF15" s="268"/>
      <c r="DG15" s="268"/>
      <c r="DH15" s="268"/>
      <c r="DI15" s="268"/>
      <c r="DJ15" s="268"/>
      <c r="DK15" s="268"/>
      <c r="DL15" s="268"/>
      <c r="DM15" s="268"/>
      <c r="DN15" s="268"/>
      <c r="DO15" s="268"/>
      <c r="DP15" s="268"/>
      <c r="DQ15" s="268"/>
      <c r="DR15" s="268"/>
      <c r="DS15" s="268"/>
      <c r="DT15" s="268"/>
      <c r="DU15" s="268"/>
      <c r="DV15" s="268"/>
      <c r="DW15" s="268"/>
      <c r="DX15" s="268"/>
      <c r="DY15" s="268"/>
      <c r="DZ15" s="268"/>
      <c r="EA15" s="268"/>
      <c r="EB15" s="268"/>
      <c r="EC15" s="268"/>
      <c r="ED15" s="268"/>
      <c r="EE15" s="268"/>
      <c r="EF15" s="268"/>
      <c r="EG15" s="268"/>
      <c r="EH15" s="268"/>
    </row>
    <row r="16" spans="1:138">
      <c r="A16" s="474"/>
      <c r="B16" s="608"/>
      <c r="C16" s="508" t="s">
        <v>246</v>
      </c>
      <c r="D16" s="509" t="s">
        <v>247</v>
      </c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508"/>
      <c r="BY16" s="510">
        <f t="shared" si="0"/>
        <v>0</v>
      </c>
      <c r="BZ16" s="611"/>
      <c r="CA16" s="268"/>
      <c r="CB16" s="510">
        <f>SUM(H16:CA16)</f>
        <v>0</v>
      </c>
      <c r="CC16" s="611"/>
      <c r="CD16" s="268"/>
      <c r="CE16" s="268"/>
      <c r="CF16" s="268"/>
      <c r="CG16" s="268"/>
      <c r="CH16" s="268"/>
      <c r="CI16" s="268"/>
      <c r="CJ16" s="268"/>
      <c r="CK16" s="268"/>
      <c r="CL16" s="268"/>
      <c r="CM16" s="268"/>
      <c r="CN16" s="268"/>
      <c r="CO16" s="268"/>
      <c r="CP16" s="268"/>
      <c r="CQ16" s="268"/>
      <c r="CR16" s="268"/>
      <c r="CS16" s="268"/>
      <c r="CT16" s="268"/>
      <c r="CU16" s="268"/>
      <c r="CV16" s="268"/>
      <c r="CW16" s="268"/>
      <c r="CX16" s="268"/>
      <c r="CY16" s="268"/>
      <c r="CZ16" s="268"/>
      <c r="DA16" s="268"/>
      <c r="DB16" s="268"/>
      <c r="DC16" s="268"/>
      <c r="DD16" s="268"/>
      <c r="DE16" s="268"/>
      <c r="DF16" s="268"/>
      <c r="DG16" s="268"/>
      <c r="DH16" s="268"/>
      <c r="DI16" s="268"/>
      <c r="DJ16" s="268"/>
      <c r="DK16" s="268"/>
      <c r="DL16" s="268"/>
      <c r="DM16" s="268"/>
      <c r="DN16" s="268"/>
      <c r="DO16" s="268"/>
      <c r="DP16" s="268"/>
      <c r="DQ16" s="268"/>
      <c r="DR16" s="268"/>
      <c r="DS16" s="268"/>
      <c r="DT16" s="268"/>
      <c r="DU16" s="268"/>
      <c r="DV16" s="268"/>
      <c r="DW16" s="268"/>
      <c r="DX16" s="268"/>
      <c r="DY16" s="268"/>
      <c r="DZ16" s="268"/>
      <c r="EA16" s="268"/>
      <c r="EB16" s="268"/>
      <c r="EC16" s="268"/>
      <c r="ED16" s="268"/>
      <c r="EE16" s="268"/>
      <c r="EF16" s="268"/>
      <c r="EG16" s="268"/>
      <c r="EH16" s="268"/>
    </row>
    <row r="17" spans="1:138" ht="15.95">
      <c r="A17" s="474"/>
      <c r="B17" s="576" t="s">
        <v>248</v>
      </c>
      <c r="C17" s="598"/>
      <c r="D17" s="287"/>
      <c r="E17" s="288">
        <f t="shared" ref="E17:BX17" si="5">SUM(E5:E16)</f>
        <v>0</v>
      </c>
      <c r="F17" s="288">
        <f t="shared" si="5"/>
        <v>0</v>
      </c>
      <c r="G17" s="288">
        <f t="shared" si="5"/>
        <v>0</v>
      </c>
      <c r="H17" s="288">
        <f t="shared" si="5"/>
        <v>0</v>
      </c>
      <c r="I17" s="288">
        <f t="shared" si="5"/>
        <v>0</v>
      </c>
      <c r="J17" s="288">
        <f t="shared" si="5"/>
        <v>0</v>
      </c>
      <c r="K17" s="288">
        <f t="shared" si="5"/>
        <v>0</v>
      </c>
      <c r="L17" s="288">
        <f t="shared" si="5"/>
        <v>0</v>
      </c>
      <c r="M17" s="288">
        <f t="shared" si="5"/>
        <v>0</v>
      </c>
      <c r="N17" s="288">
        <f t="shared" si="5"/>
        <v>0</v>
      </c>
      <c r="O17" s="288">
        <f t="shared" si="5"/>
        <v>0</v>
      </c>
      <c r="P17" s="288">
        <f t="shared" si="5"/>
        <v>0</v>
      </c>
      <c r="Q17" s="288">
        <f t="shared" si="5"/>
        <v>0</v>
      </c>
      <c r="R17" s="288">
        <f t="shared" si="5"/>
        <v>0</v>
      </c>
      <c r="S17" s="288">
        <f t="shared" si="5"/>
        <v>0</v>
      </c>
      <c r="T17" s="288">
        <f t="shared" si="5"/>
        <v>0</v>
      </c>
      <c r="U17" s="288">
        <f t="shared" si="5"/>
        <v>20973697.76859504</v>
      </c>
      <c r="V17" s="288">
        <f t="shared" si="5"/>
        <v>8603173.8428099193</v>
      </c>
      <c r="W17" s="288">
        <f t="shared" si="5"/>
        <v>831886.00693415385</v>
      </c>
      <c r="X17" s="288">
        <f t="shared" si="5"/>
        <v>3506112.4374322859</v>
      </c>
      <c r="Y17" s="288">
        <f t="shared" si="5"/>
        <v>9521610.1346490905</v>
      </c>
      <c r="Z17" s="288">
        <f t="shared" si="5"/>
        <v>11293428.759412669</v>
      </c>
      <c r="AA17" s="288">
        <f t="shared" si="5"/>
        <v>11115333.333333334</v>
      </c>
      <c r="AB17" s="288">
        <f t="shared" si="5"/>
        <v>11165750</v>
      </c>
      <c r="AC17" s="288">
        <f t="shared" si="5"/>
        <v>11174166.666666666</v>
      </c>
      <c r="AD17" s="288">
        <f t="shared" si="5"/>
        <v>11224583.333333334</v>
      </c>
      <c r="AE17" s="288">
        <f t="shared" si="5"/>
        <v>11275000</v>
      </c>
      <c r="AF17" s="288">
        <f t="shared" si="5"/>
        <v>11325416.666666666</v>
      </c>
      <c r="AG17" s="288">
        <f t="shared" si="5"/>
        <v>11375833.333333334</v>
      </c>
      <c r="AH17" s="288">
        <f t="shared" si="5"/>
        <v>11403919.902503999</v>
      </c>
      <c r="AI17" s="288">
        <f t="shared" si="5"/>
        <v>202781894.95718667</v>
      </c>
      <c r="AJ17" s="288">
        <f t="shared" si="5"/>
        <v>0</v>
      </c>
      <c r="AK17" s="288">
        <f t="shared" si="5"/>
        <v>0</v>
      </c>
      <c r="AL17" s="288">
        <f t="shared" si="5"/>
        <v>0</v>
      </c>
      <c r="AM17" s="288">
        <f t="shared" si="5"/>
        <v>0</v>
      </c>
      <c r="AN17" s="288">
        <f t="shared" si="5"/>
        <v>0</v>
      </c>
      <c r="AO17" s="288">
        <f t="shared" si="5"/>
        <v>0</v>
      </c>
      <c r="AP17" s="288">
        <f t="shared" si="5"/>
        <v>0</v>
      </c>
      <c r="AQ17" s="288">
        <f t="shared" si="5"/>
        <v>0</v>
      </c>
      <c r="AR17" s="288">
        <f t="shared" si="5"/>
        <v>0</v>
      </c>
      <c r="AS17" s="288">
        <f t="shared" si="5"/>
        <v>0</v>
      </c>
      <c r="AT17" s="288">
        <f t="shared" si="5"/>
        <v>0</v>
      </c>
      <c r="AU17" s="288">
        <f t="shared" si="5"/>
        <v>0</v>
      </c>
      <c r="AV17" s="288">
        <f t="shared" si="5"/>
        <v>0</v>
      </c>
      <c r="AW17" s="288">
        <f t="shared" si="5"/>
        <v>0</v>
      </c>
      <c r="AX17" s="288">
        <f t="shared" si="5"/>
        <v>0</v>
      </c>
      <c r="AY17" s="288">
        <f t="shared" si="5"/>
        <v>0</v>
      </c>
      <c r="AZ17" s="288">
        <f t="shared" si="5"/>
        <v>0</v>
      </c>
      <c r="BA17" s="288">
        <f t="shared" si="5"/>
        <v>0</v>
      </c>
      <c r="BB17" s="288">
        <f t="shared" si="5"/>
        <v>0</v>
      </c>
      <c r="BC17" s="288">
        <f t="shared" si="5"/>
        <v>0</v>
      </c>
      <c r="BD17" s="288">
        <f t="shared" si="5"/>
        <v>0</v>
      </c>
      <c r="BE17" s="288">
        <f t="shared" si="5"/>
        <v>0</v>
      </c>
      <c r="BF17" s="288">
        <f t="shared" si="5"/>
        <v>0</v>
      </c>
      <c r="BG17" s="288">
        <f t="shared" si="5"/>
        <v>0</v>
      </c>
      <c r="BH17" s="288">
        <f t="shared" si="5"/>
        <v>0</v>
      </c>
      <c r="BI17" s="288">
        <f t="shared" si="5"/>
        <v>0</v>
      </c>
      <c r="BJ17" s="288">
        <f t="shared" si="5"/>
        <v>0</v>
      </c>
      <c r="BK17" s="288">
        <f t="shared" si="5"/>
        <v>0</v>
      </c>
      <c r="BL17" s="288">
        <f t="shared" si="5"/>
        <v>0</v>
      </c>
      <c r="BM17" s="288">
        <f t="shared" si="5"/>
        <v>0</v>
      </c>
      <c r="BN17" s="288">
        <f t="shared" si="5"/>
        <v>0</v>
      </c>
      <c r="BO17" s="288">
        <f t="shared" si="5"/>
        <v>0</v>
      </c>
      <c r="BP17" s="288">
        <f t="shared" si="5"/>
        <v>0</v>
      </c>
      <c r="BQ17" s="288">
        <f t="shared" si="5"/>
        <v>0</v>
      </c>
      <c r="BR17" s="288">
        <f t="shared" si="5"/>
        <v>0</v>
      </c>
      <c r="BS17" s="288">
        <f t="shared" si="5"/>
        <v>0</v>
      </c>
      <c r="BT17" s="288">
        <f t="shared" si="5"/>
        <v>0</v>
      </c>
      <c r="BU17" s="288">
        <f t="shared" si="5"/>
        <v>0</v>
      </c>
      <c r="BV17" s="288">
        <f t="shared" si="5"/>
        <v>0</v>
      </c>
      <c r="BW17" s="288">
        <f t="shared" si="5"/>
        <v>0</v>
      </c>
      <c r="BX17" s="288">
        <f t="shared" si="5"/>
        <v>0</v>
      </c>
      <c r="BY17" s="584">
        <f>BZ5+BZ9+BZ12</f>
        <v>347571807.14285713</v>
      </c>
      <c r="BZ17" s="598"/>
      <c r="CA17" s="268"/>
      <c r="CB17" s="584">
        <f>CC5+CC9+CC12</f>
        <v>1058617997.9070034</v>
      </c>
      <c r="CC17" s="598"/>
      <c r="CD17" s="268"/>
      <c r="CE17" s="268"/>
      <c r="CF17" s="268"/>
      <c r="CG17" s="268"/>
      <c r="CH17" s="268"/>
      <c r="CI17" s="268"/>
      <c r="CJ17" s="268"/>
      <c r="CK17" s="268"/>
      <c r="CL17" s="268"/>
      <c r="CM17" s="268"/>
      <c r="CN17" s="268"/>
      <c r="CO17" s="268"/>
      <c r="CP17" s="268"/>
      <c r="CQ17" s="268"/>
      <c r="CR17" s="268"/>
      <c r="CS17" s="268"/>
      <c r="CT17" s="268"/>
      <c r="CU17" s="268"/>
      <c r="CV17" s="268"/>
      <c r="CW17" s="268"/>
      <c r="CX17" s="268"/>
      <c r="CY17" s="268"/>
      <c r="CZ17" s="268"/>
      <c r="DA17" s="268"/>
      <c r="DB17" s="268"/>
      <c r="DC17" s="268"/>
      <c r="DD17" s="268"/>
      <c r="DE17" s="268"/>
      <c r="DF17" s="268"/>
      <c r="DG17" s="268"/>
      <c r="DH17" s="268"/>
      <c r="DI17" s="268"/>
      <c r="DJ17" s="268"/>
      <c r="DK17" s="268"/>
      <c r="DL17" s="268"/>
      <c r="DM17" s="268"/>
      <c r="DN17" s="268"/>
      <c r="DO17" s="268"/>
      <c r="DP17" s="268"/>
      <c r="DQ17" s="268"/>
      <c r="DR17" s="268"/>
      <c r="DS17" s="268"/>
      <c r="DT17" s="268"/>
      <c r="DU17" s="268"/>
      <c r="DV17" s="268"/>
      <c r="DW17" s="268"/>
      <c r="DX17" s="268"/>
      <c r="DY17" s="268"/>
      <c r="DZ17" s="268"/>
      <c r="EA17" s="268"/>
      <c r="EB17" s="268"/>
      <c r="EC17" s="268"/>
      <c r="ED17" s="268"/>
      <c r="EE17" s="268"/>
      <c r="EF17" s="268"/>
      <c r="EG17" s="268"/>
      <c r="EH17" s="268"/>
    </row>
    <row r="18" spans="1:138" ht="15.95">
      <c r="A18" s="474"/>
      <c r="B18" s="578" t="s">
        <v>249</v>
      </c>
      <c r="C18" s="289" t="s">
        <v>250</v>
      </c>
      <c r="D18" s="290"/>
      <c r="E18" s="291">
        <f t="shared" ref="E18:BY18" si="6">SUM(E19:E24)</f>
        <v>0</v>
      </c>
      <c r="F18" s="291">
        <f t="shared" si="6"/>
        <v>0</v>
      </c>
      <c r="G18" s="291">
        <f t="shared" si="6"/>
        <v>0</v>
      </c>
      <c r="H18" s="291">
        <f t="shared" si="6"/>
        <v>0</v>
      </c>
      <c r="I18" s="291">
        <f t="shared" si="6"/>
        <v>0</v>
      </c>
      <c r="J18" s="291">
        <f t="shared" si="6"/>
        <v>0</v>
      </c>
      <c r="K18" s="291">
        <f t="shared" si="6"/>
        <v>0</v>
      </c>
      <c r="L18" s="291">
        <f t="shared" si="6"/>
        <v>0</v>
      </c>
      <c r="M18" s="291">
        <f t="shared" si="6"/>
        <v>0</v>
      </c>
      <c r="N18" s="291">
        <f t="shared" si="6"/>
        <v>0</v>
      </c>
      <c r="O18" s="291">
        <f t="shared" si="6"/>
        <v>0</v>
      </c>
      <c r="P18" s="291">
        <f t="shared" si="6"/>
        <v>0</v>
      </c>
      <c r="Q18" s="291">
        <f t="shared" si="6"/>
        <v>0</v>
      </c>
      <c r="R18" s="291">
        <f t="shared" si="6"/>
        <v>0</v>
      </c>
      <c r="S18" s="291">
        <f t="shared" si="6"/>
        <v>0</v>
      </c>
      <c r="T18" s="291">
        <f t="shared" si="6"/>
        <v>0</v>
      </c>
      <c r="U18" s="291">
        <f t="shared" si="6"/>
        <v>-19172867.768595044</v>
      </c>
      <c r="V18" s="291">
        <f t="shared" si="6"/>
        <v>-9157754.2314049564</v>
      </c>
      <c r="W18" s="291">
        <f t="shared" si="6"/>
        <v>0</v>
      </c>
      <c r="X18" s="291">
        <f t="shared" si="6"/>
        <v>0</v>
      </c>
      <c r="Y18" s="291">
        <f t="shared" si="6"/>
        <v>0</v>
      </c>
      <c r="Z18" s="291">
        <f t="shared" si="6"/>
        <v>0</v>
      </c>
      <c r="AA18" s="291">
        <f t="shared" si="6"/>
        <v>0</v>
      </c>
      <c r="AB18" s="291">
        <f t="shared" si="6"/>
        <v>0</v>
      </c>
      <c r="AC18" s="291">
        <f t="shared" si="6"/>
        <v>0</v>
      </c>
      <c r="AD18" s="291">
        <f t="shared" si="6"/>
        <v>0</v>
      </c>
      <c r="AE18" s="291">
        <f t="shared" si="6"/>
        <v>0</v>
      </c>
      <c r="AF18" s="291">
        <f t="shared" si="6"/>
        <v>0</v>
      </c>
      <c r="AG18" s="291">
        <f t="shared" si="6"/>
        <v>0</v>
      </c>
      <c r="AH18" s="291">
        <f t="shared" si="6"/>
        <v>0</v>
      </c>
      <c r="AI18" s="291">
        <f t="shared" si="6"/>
        <v>0</v>
      </c>
      <c r="AJ18" s="291">
        <f t="shared" si="6"/>
        <v>0</v>
      </c>
      <c r="AK18" s="291">
        <f t="shared" si="6"/>
        <v>0</v>
      </c>
      <c r="AL18" s="291">
        <f t="shared" si="6"/>
        <v>0</v>
      </c>
      <c r="AM18" s="291">
        <f t="shared" si="6"/>
        <v>0</v>
      </c>
      <c r="AN18" s="291">
        <f t="shared" si="6"/>
        <v>0</v>
      </c>
      <c r="AO18" s="291">
        <f t="shared" si="6"/>
        <v>0</v>
      </c>
      <c r="AP18" s="291">
        <f t="shared" si="6"/>
        <v>0</v>
      </c>
      <c r="AQ18" s="291">
        <f t="shared" si="6"/>
        <v>0</v>
      </c>
      <c r="AR18" s="291">
        <f t="shared" si="6"/>
        <v>0</v>
      </c>
      <c r="AS18" s="291">
        <f t="shared" si="6"/>
        <v>0</v>
      </c>
      <c r="AT18" s="291">
        <f t="shared" si="6"/>
        <v>0</v>
      </c>
      <c r="AU18" s="291">
        <f t="shared" si="6"/>
        <v>0</v>
      </c>
      <c r="AV18" s="291">
        <f t="shared" si="6"/>
        <v>0</v>
      </c>
      <c r="AW18" s="291">
        <f t="shared" si="6"/>
        <v>0</v>
      </c>
      <c r="AX18" s="291">
        <f t="shared" si="6"/>
        <v>0</v>
      </c>
      <c r="AY18" s="291">
        <f t="shared" si="6"/>
        <v>0</v>
      </c>
      <c r="AZ18" s="291">
        <f t="shared" si="6"/>
        <v>0</v>
      </c>
      <c r="BA18" s="291">
        <f t="shared" si="6"/>
        <v>0</v>
      </c>
      <c r="BB18" s="291">
        <f t="shared" si="6"/>
        <v>0</v>
      </c>
      <c r="BC18" s="291">
        <f t="shared" si="6"/>
        <v>0</v>
      </c>
      <c r="BD18" s="291">
        <f t="shared" si="6"/>
        <v>0</v>
      </c>
      <c r="BE18" s="291">
        <f t="shared" si="6"/>
        <v>0</v>
      </c>
      <c r="BF18" s="291">
        <f t="shared" si="6"/>
        <v>0</v>
      </c>
      <c r="BG18" s="291">
        <f t="shared" si="6"/>
        <v>0</v>
      </c>
      <c r="BH18" s="291">
        <f t="shared" si="6"/>
        <v>0</v>
      </c>
      <c r="BI18" s="291">
        <f t="shared" si="6"/>
        <v>0</v>
      </c>
      <c r="BJ18" s="291">
        <f t="shared" si="6"/>
        <v>0</v>
      </c>
      <c r="BK18" s="291">
        <f t="shared" si="6"/>
        <v>0</v>
      </c>
      <c r="BL18" s="291">
        <f t="shared" si="6"/>
        <v>0</v>
      </c>
      <c r="BM18" s="291">
        <f t="shared" si="6"/>
        <v>0</v>
      </c>
      <c r="BN18" s="291">
        <f t="shared" si="6"/>
        <v>0</v>
      </c>
      <c r="BO18" s="291">
        <f t="shared" si="6"/>
        <v>0</v>
      </c>
      <c r="BP18" s="291">
        <f t="shared" si="6"/>
        <v>0</v>
      </c>
      <c r="BQ18" s="291">
        <f t="shared" si="6"/>
        <v>0</v>
      </c>
      <c r="BR18" s="291">
        <f t="shared" si="6"/>
        <v>0</v>
      </c>
      <c r="BS18" s="291">
        <f t="shared" si="6"/>
        <v>0</v>
      </c>
      <c r="BT18" s="291">
        <f t="shared" si="6"/>
        <v>0</v>
      </c>
      <c r="BU18" s="291">
        <f t="shared" si="6"/>
        <v>0</v>
      </c>
      <c r="BV18" s="291">
        <f t="shared" si="6"/>
        <v>0</v>
      </c>
      <c r="BW18" s="291">
        <f t="shared" si="6"/>
        <v>0</v>
      </c>
      <c r="BX18" s="291">
        <f t="shared" si="6"/>
        <v>0</v>
      </c>
      <c r="BY18" s="292">
        <f t="shared" si="6"/>
        <v>-28330622</v>
      </c>
      <c r="BZ18" s="582">
        <f>BY18+BY25+BY28+BY36+BY39+BY48+BY54+BY62+BY86</f>
        <v>-152521316.1623812</v>
      </c>
      <c r="CA18" s="268"/>
      <c r="CB18" s="293" t="e">
        <f t="array" aca="1" ref="CB18" ca="1">SUM(INDEX(E18:BX18, , 1):INDEX(E18:BX18, ,MATCH($CB$4, $E$3:$BX$3,0) ))</f>
        <v>#N/A</v>
      </c>
      <c r="CC18" s="582" t="e">
        <f ca="1">CB18+CB25+CB28+CB36+CB39+CB48+CB54+CB62+CB86</f>
        <v>#N/A</v>
      </c>
      <c r="CD18" s="268"/>
      <c r="CE18" s="268"/>
      <c r="CF18" s="268"/>
      <c r="CG18" s="268"/>
      <c r="CH18" s="268"/>
      <c r="CI18" s="268"/>
      <c r="CJ18" s="268"/>
      <c r="CK18" s="268"/>
      <c r="CL18" s="268"/>
      <c r="CM18" s="268"/>
      <c r="CN18" s="268"/>
      <c r="CO18" s="268"/>
      <c r="CP18" s="268"/>
      <c r="CQ18" s="268"/>
      <c r="CR18" s="268"/>
      <c r="CS18" s="268"/>
      <c r="CT18" s="268"/>
      <c r="CU18" s="268"/>
      <c r="CV18" s="268"/>
      <c r="CW18" s="268"/>
      <c r="CX18" s="268"/>
      <c r="CY18" s="268"/>
      <c r="CZ18" s="268"/>
      <c r="DA18" s="268"/>
      <c r="DB18" s="268"/>
      <c r="DC18" s="268"/>
      <c r="DD18" s="268"/>
      <c r="DE18" s="268"/>
      <c r="DF18" s="268"/>
      <c r="DG18" s="268"/>
      <c r="DH18" s="268"/>
      <c r="DI18" s="268"/>
      <c r="DJ18" s="268"/>
      <c r="DK18" s="268"/>
      <c r="DL18" s="268"/>
      <c r="DM18" s="268"/>
      <c r="DN18" s="268"/>
      <c r="DO18" s="268"/>
      <c r="DP18" s="268"/>
      <c r="DQ18" s="268"/>
      <c r="DR18" s="268"/>
      <c r="DS18" s="268"/>
      <c r="DT18" s="268"/>
      <c r="DU18" s="268"/>
      <c r="DV18" s="268"/>
      <c r="DW18" s="268"/>
      <c r="DX18" s="268"/>
      <c r="DY18" s="268"/>
      <c r="DZ18" s="268"/>
      <c r="EA18" s="268"/>
      <c r="EB18" s="268"/>
      <c r="EC18" s="268"/>
      <c r="ED18" s="268"/>
      <c r="EE18" s="268"/>
      <c r="EF18" s="268"/>
      <c r="EG18" s="268"/>
      <c r="EH18" s="268"/>
    </row>
    <row r="19" spans="1:138" ht="15.95" outlineLevel="1">
      <c r="A19" s="474"/>
      <c r="B19" s="609"/>
      <c r="C19" s="294" t="s">
        <v>251</v>
      </c>
      <c r="D19" s="295" t="s">
        <v>245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>
        <f>-23199170/1.21</f>
        <v>-19172867.768595044</v>
      </c>
      <c r="V19" s="296">
        <f>-21090000-3370000-$U$19</f>
        <v>-5287132.2314049564</v>
      </c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  <c r="AN19" s="296"/>
      <c r="AO19" s="296"/>
      <c r="AP19" s="296"/>
      <c r="AQ19" s="296"/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6"/>
      <c r="BH19" s="296"/>
      <c r="BI19" s="296"/>
      <c r="BJ19" s="296"/>
      <c r="BK19" s="296"/>
      <c r="BL19" s="296"/>
      <c r="BM19" s="296"/>
      <c r="BN19" s="296"/>
      <c r="BO19" s="296"/>
      <c r="BP19" s="296"/>
      <c r="BQ19" s="296"/>
      <c r="BR19" s="296"/>
      <c r="BS19" s="296"/>
      <c r="BT19" s="296"/>
      <c r="BU19" s="296"/>
      <c r="BV19" s="296"/>
      <c r="BW19" s="296"/>
      <c r="BX19" s="296"/>
      <c r="BY19" s="297">
        <f t="shared" ref="BY19:BY23" si="7">SUM(E19:BX19)</f>
        <v>-24460000</v>
      </c>
      <c r="BZ19" s="599"/>
      <c r="CA19" s="268"/>
      <c r="CB19" s="293" t="e">
        <f ca="1">SUM(INDEX(AC19:BX19, , 1):INDEX(AC19:BX19, ,MATCH($CB$4, $E$3:$BX$3,0) ))</f>
        <v>#N/A</v>
      </c>
      <c r="CC19" s="599"/>
      <c r="CD19" s="268"/>
      <c r="CE19" s="268"/>
      <c r="CF19" s="268"/>
      <c r="CG19" s="268"/>
      <c r="CH19" s="268"/>
      <c r="CI19" s="268"/>
      <c r="CJ19" s="268"/>
      <c r="CK19" s="268"/>
      <c r="CL19" s="268"/>
      <c r="CM19" s="268"/>
      <c r="CN19" s="268"/>
      <c r="CO19" s="268"/>
      <c r="CP19" s="268"/>
      <c r="CQ19" s="268"/>
      <c r="CR19" s="268"/>
      <c r="CS19" s="268"/>
      <c r="CT19" s="268"/>
      <c r="CU19" s="268"/>
      <c r="CV19" s="268"/>
      <c r="CW19" s="268"/>
      <c r="CX19" s="268"/>
      <c r="CY19" s="268"/>
      <c r="CZ19" s="268"/>
      <c r="DA19" s="268"/>
      <c r="DB19" s="268"/>
      <c r="DC19" s="268"/>
      <c r="DD19" s="268"/>
      <c r="DE19" s="268"/>
      <c r="DF19" s="268"/>
      <c r="DG19" s="268"/>
      <c r="DH19" s="268"/>
      <c r="DI19" s="268"/>
      <c r="DJ19" s="268"/>
      <c r="DK19" s="268"/>
      <c r="DL19" s="268"/>
      <c r="DM19" s="268"/>
      <c r="DN19" s="268"/>
      <c r="DO19" s="268"/>
      <c r="DP19" s="268"/>
      <c r="DQ19" s="268"/>
      <c r="DR19" s="268"/>
      <c r="DS19" s="268"/>
      <c r="DT19" s="268"/>
      <c r="DU19" s="268"/>
      <c r="DV19" s="268"/>
      <c r="DW19" s="268"/>
      <c r="DX19" s="268"/>
      <c r="DY19" s="268"/>
      <c r="DZ19" s="268"/>
      <c r="EA19" s="268"/>
      <c r="EB19" s="268"/>
      <c r="EC19" s="268"/>
      <c r="ED19" s="268"/>
      <c r="EE19" s="268"/>
      <c r="EF19" s="268"/>
      <c r="EG19" s="268"/>
      <c r="EH19" s="268"/>
    </row>
    <row r="20" spans="1:138" ht="15.95" outlineLevel="1">
      <c r="A20" s="474"/>
      <c r="B20" s="609"/>
      <c r="C20" s="294" t="s">
        <v>252</v>
      </c>
      <c r="D20" s="295" t="s">
        <v>245</v>
      </c>
      <c r="E20" s="296"/>
      <c r="F20" s="296"/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>
        <f>-Businessplan_prodej!$F$9</f>
        <v>-1034399</v>
      </c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  <c r="AN20" s="296"/>
      <c r="AO20" s="296"/>
      <c r="AP20" s="296"/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6"/>
      <c r="BH20" s="296"/>
      <c r="BI20" s="296"/>
      <c r="BJ20" s="296"/>
      <c r="BK20" s="296"/>
      <c r="BL20" s="296"/>
      <c r="BM20" s="296"/>
      <c r="BN20" s="296"/>
      <c r="BO20" s="296"/>
      <c r="BP20" s="296"/>
      <c r="BQ20" s="296"/>
      <c r="BR20" s="296"/>
      <c r="BS20" s="296"/>
      <c r="BT20" s="296"/>
      <c r="BU20" s="296"/>
      <c r="BV20" s="296"/>
      <c r="BW20" s="296"/>
      <c r="BX20" s="296"/>
      <c r="BY20" s="297">
        <f t="shared" si="7"/>
        <v>-1034399</v>
      </c>
      <c r="BZ20" s="599"/>
      <c r="CA20" s="268"/>
      <c r="CB20" s="293" t="e">
        <f ca="1">SUM(INDEX(AC20:BX20, , 1):INDEX(AC20:BX20, ,MATCH($CB$4, $E$3:$BX$3,0) ))</f>
        <v>#N/A</v>
      </c>
      <c r="CC20" s="599"/>
      <c r="CD20" s="268"/>
      <c r="CE20" s="268"/>
      <c r="CF20" s="268"/>
      <c r="CG20" s="268"/>
      <c r="CH20" s="268"/>
      <c r="CI20" s="268"/>
      <c r="CJ20" s="268"/>
      <c r="CK20" s="268"/>
      <c r="CL20" s="268"/>
      <c r="CM20" s="268"/>
      <c r="CN20" s="268"/>
      <c r="CO20" s="268"/>
      <c r="CP20" s="268"/>
      <c r="CQ20" s="268"/>
      <c r="CR20" s="268"/>
      <c r="CS20" s="268"/>
      <c r="CT20" s="268"/>
      <c r="CU20" s="268"/>
      <c r="CV20" s="268"/>
      <c r="CW20" s="268"/>
      <c r="CX20" s="268"/>
      <c r="CY20" s="268"/>
      <c r="CZ20" s="268"/>
      <c r="DA20" s="268"/>
      <c r="DB20" s="268"/>
      <c r="DC20" s="268"/>
      <c r="DD20" s="268"/>
      <c r="DE20" s="268"/>
      <c r="DF20" s="268"/>
      <c r="DG20" s="268"/>
      <c r="DH20" s="268"/>
      <c r="DI20" s="268"/>
      <c r="DJ20" s="268"/>
      <c r="DK20" s="268"/>
      <c r="DL20" s="268"/>
      <c r="DM20" s="268"/>
      <c r="DN20" s="268"/>
      <c r="DO20" s="268"/>
      <c r="DP20" s="268"/>
      <c r="DQ20" s="268"/>
      <c r="DR20" s="268"/>
      <c r="DS20" s="268"/>
      <c r="DT20" s="268"/>
      <c r="DU20" s="268"/>
      <c r="DV20" s="268"/>
      <c r="DW20" s="268"/>
      <c r="DX20" s="268"/>
      <c r="DY20" s="268"/>
      <c r="DZ20" s="268"/>
      <c r="EA20" s="268"/>
      <c r="EB20" s="268"/>
      <c r="EC20" s="268"/>
      <c r="ED20" s="268"/>
      <c r="EE20" s="268"/>
      <c r="EF20" s="268"/>
      <c r="EG20" s="268"/>
      <c r="EH20" s="268"/>
    </row>
    <row r="21" spans="1:138" ht="15.95" outlineLevel="1">
      <c r="A21" s="474"/>
      <c r="B21" s="609"/>
      <c r="C21" s="294" t="s">
        <v>253</v>
      </c>
      <c r="D21" s="295" t="s">
        <v>245</v>
      </c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>
        <f>-Businessplan_prodej!$F$10</f>
        <v>-250000</v>
      </c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6"/>
      <c r="BN21" s="296"/>
      <c r="BO21" s="296"/>
      <c r="BP21" s="296"/>
      <c r="BQ21" s="296"/>
      <c r="BR21" s="296"/>
      <c r="BS21" s="296"/>
      <c r="BT21" s="296"/>
      <c r="BU21" s="296"/>
      <c r="BV21" s="296"/>
      <c r="BW21" s="296"/>
      <c r="BX21" s="296"/>
      <c r="BY21" s="297">
        <f t="shared" si="7"/>
        <v>-250000</v>
      </c>
      <c r="BZ21" s="599"/>
      <c r="CA21" s="268"/>
      <c r="CB21" s="293" t="e">
        <f ca="1">SUM(INDEX(AC21:BX21, , 1):INDEX(AC21:BX21, ,MATCH($CB$4, $E$3:$BX$3,0) ))</f>
        <v>#N/A</v>
      </c>
      <c r="CC21" s="599"/>
      <c r="CD21" s="268"/>
      <c r="CE21" s="268"/>
      <c r="CF21" s="268"/>
      <c r="CG21" s="268"/>
      <c r="CH21" s="268"/>
      <c r="CI21" s="268"/>
      <c r="CJ21" s="268"/>
      <c r="CK21" s="268"/>
      <c r="CL21" s="268"/>
      <c r="CM21" s="268"/>
      <c r="CN21" s="268"/>
      <c r="CO21" s="268"/>
      <c r="CP21" s="268"/>
      <c r="CQ21" s="268"/>
      <c r="CR21" s="268"/>
      <c r="CS21" s="268"/>
      <c r="CT21" s="268"/>
      <c r="CU21" s="268"/>
      <c r="CV21" s="268"/>
      <c r="CW21" s="268"/>
      <c r="CX21" s="268"/>
      <c r="CY21" s="268"/>
      <c r="CZ21" s="268"/>
      <c r="DA21" s="268"/>
      <c r="DB21" s="268"/>
      <c r="DC21" s="268"/>
      <c r="DD21" s="268"/>
      <c r="DE21" s="268"/>
      <c r="DF21" s="268"/>
      <c r="DG21" s="268"/>
      <c r="DH21" s="268"/>
      <c r="DI21" s="268"/>
      <c r="DJ21" s="268"/>
      <c r="DK21" s="268"/>
      <c r="DL21" s="268"/>
      <c r="DM21" s="268"/>
      <c r="DN21" s="268"/>
      <c r="DO21" s="268"/>
      <c r="DP21" s="268"/>
      <c r="DQ21" s="268"/>
      <c r="DR21" s="268"/>
      <c r="DS21" s="268"/>
      <c r="DT21" s="268"/>
      <c r="DU21" s="268"/>
      <c r="DV21" s="268"/>
      <c r="DW21" s="268"/>
      <c r="DX21" s="268"/>
      <c r="DY21" s="268"/>
      <c r="DZ21" s="268"/>
      <c r="EA21" s="268"/>
      <c r="EB21" s="268"/>
      <c r="EC21" s="268"/>
      <c r="ED21" s="268"/>
      <c r="EE21" s="268"/>
      <c r="EF21" s="268"/>
      <c r="EG21" s="268"/>
      <c r="EH21" s="268"/>
    </row>
    <row r="22" spans="1:138" ht="15.95" outlineLevel="1">
      <c r="A22" s="474"/>
      <c r="B22" s="609"/>
      <c r="C22" s="294" t="s">
        <v>254</v>
      </c>
      <c r="D22" s="295" t="s">
        <v>245</v>
      </c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>
        <f>-Businessplan_prodej!$F$11</f>
        <v>-1500000</v>
      </c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6"/>
      <c r="BN22" s="296"/>
      <c r="BO22" s="296"/>
      <c r="BP22" s="296"/>
      <c r="BQ22" s="296"/>
      <c r="BR22" s="296"/>
      <c r="BS22" s="296"/>
      <c r="BT22" s="296"/>
      <c r="BU22" s="296"/>
      <c r="BV22" s="296"/>
      <c r="BW22" s="296"/>
      <c r="BX22" s="296"/>
      <c r="BY22" s="297">
        <f t="shared" si="7"/>
        <v>-1500000</v>
      </c>
      <c r="BZ22" s="599"/>
      <c r="CA22" s="268"/>
      <c r="CB22" s="293" t="e">
        <f ca="1">SUM(INDEX(AC22:BX22, , 1):INDEX(AC22:BX22, ,MATCH($CB$4, $E$3:$BX$3,0) ))</f>
        <v>#N/A</v>
      </c>
      <c r="CC22" s="599"/>
      <c r="CD22" s="268"/>
      <c r="CE22" s="268"/>
      <c r="CF22" s="268"/>
      <c r="CG22" s="268"/>
      <c r="CH22" s="268"/>
      <c r="CI22" s="268"/>
      <c r="CJ22" s="268"/>
      <c r="CK22" s="268"/>
      <c r="CL22" s="268"/>
      <c r="CM22" s="268"/>
      <c r="CN22" s="268"/>
      <c r="CO22" s="268"/>
      <c r="CP22" s="268"/>
      <c r="CQ22" s="268"/>
      <c r="CR22" s="268"/>
      <c r="CS22" s="268"/>
      <c r="CT22" s="268"/>
      <c r="CU22" s="268"/>
      <c r="CV22" s="268"/>
      <c r="CW22" s="268"/>
      <c r="CX22" s="268"/>
      <c r="CY22" s="268"/>
      <c r="CZ22" s="268"/>
      <c r="DA22" s="268"/>
      <c r="DB22" s="268"/>
      <c r="DC22" s="268"/>
      <c r="DD22" s="268"/>
      <c r="DE22" s="268"/>
      <c r="DF22" s="268"/>
      <c r="DG22" s="268"/>
      <c r="DH22" s="268"/>
      <c r="DI22" s="268"/>
      <c r="DJ22" s="268"/>
      <c r="DK22" s="268"/>
      <c r="DL22" s="268"/>
      <c r="DM22" s="268"/>
      <c r="DN22" s="268"/>
      <c r="DO22" s="268"/>
      <c r="DP22" s="268"/>
      <c r="DQ22" s="268"/>
      <c r="DR22" s="268"/>
      <c r="DS22" s="268"/>
      <c r="DT22" s="268"/>
      <c r="DU22" s="268"/>
      <c r="DV22" s="268"/>
      <c r="DW22" s="268"/>
      <c r="DX22" s="268"/>
      <c r="DY22" s="268"/>
      <c r="DZ22" s="268"/>
      <c r="EA22" s="268"/>
      <c r="EB22" s="268"/>
      <c r="EC22" s="268"/>
      <c r="ED22" s="268"/>
      <c r="EE22" s="268"/>
      <c r="EF22" s="268"/>
      <c r="EG22" s="268"/>
      <c r="EH22" s="268"/>
    </row>
    <row r="23" spans="1:138" ht="15.95" outlineLevel="1">
      <c r="A23" s="474"/>
      <c r="B23" s="609"/>
      <c r="C23" s="294" t="s">
        <v>255</v>
      </c>
      <c r="D23" s="298" t="s">
        <v>245</v>
      </c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>
        <f>-Businessplan_prodej!F12</f>
        <v>-1086223</v>
      </c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7">
        <f t="shared" si="7"/>
        <v>-1086223</v>
      </c>
      <c r="BZ23" s="599"/>
      <c r="CA23" s="268"/>
      <c r="CB23" s="293"/>
      <c r="CC23" s="599"/>
      <c r="CD23" s="268"/>
      <c r="CE23" s="268"/>
      <c r="CF23" s="268"/>
      <c r="CG23" s="268"/>
      <c r="CH23" s="268"/>
      <c r="CI23" s="268"/>
      <c r="CJ23" s="268"/>
      <c r="CK23" s="268"/>
      <c r="CL23" s="268"/>
      <c r="CM23" s="268"/>
      <c r="CN23" s="268"/>
      <c r="CO23" s="268"/>
      <c r="CP23" s="268"/>
      <c r="CQ23" s="268"/>
      <c r="CR23" s="268"/>
      <c r="CS23" s="268"/>
      <c r="CT23" s="268"/>
      <c r="CU23" s="268"/>
      <c r="CV23" s="268"/>
      <c r="CW23" s="268"/>
      <c r="CX23" s="268"/>
      <c r="CY23" s="268"/>
      <c r="CZ23" s="268"/>
      <c r="DA23" s="268"/>
      <c r="DB23" s="268"/>
      <c r="DC23" s="268"/>
      <c r="DD23" s="268"/>
      <c r="DE23" s="268"/>
      <c r="DF23" s="268"/>
      <c r="DG23" s="268"/>
      <c r="DH23" s="268"/>
      <c r="DI23" s="268"/>
      <c r="DJ23" s="268"/>
      <c r="DK23" s="268"/>
      <c r="DL23" s="268"/>
      <c r="DM23" s="268"/>
      <c r="DN23" s="268"/>
      <c r="DO23" s="268"/>
      <c r="DP23" s="268"/>
      <c r="DQ23" s="268"/>
      <c r="DR23" s="268"/>
      <c r="DS23" s="268"/>
      <c r="DT23" s="268"/>
      <c r="DU23" s="268"/>
      <c r="DV23" s="268"/>
      <c r="DW23" s="268"/>
      <c r="DX23" s="268"/>
      <c r="DY23" s="268"/>
      <c r="DZ23" s="268"/>
      <c r="EA23" s="268"/>
      <c r="EB23" s="268"/>
      <c r="EC23" s="268"/>
      <c r="ED23" s="268"/>
      <c r="EE23" s="268"/>
      <c r="EF23" s="268"/>
      <c r="EG23" s="268"/>
      <c r="EH23" s="268"/>
    </row>
    <row r="24" spans="1:138" ht="15.95" outlineLevel="1">
      <c r="A24" s="474"/>
      <c r="B24" s="609"/>
      <c r="C24" s="294" t="s">
        <v>256</v>
      </c>
      <c r="D24" s="298" t="s">
        <v>245</v>
      </c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7">
        <f>SUM(E24:BX24)</f>
        <v>0</v>
      </c>
      <c r="BZ24" s="599"/>
      <c r="CA24" s="268"/>
      <c r="CB24" s="293" t="e">
        <f t="array" aca="1" ref="CB24" ca="1">SUM(INDEX(AC24:BX24, , 1):INDEX(AC24:BX24, ,MATCH($CB$4, $E$3:$BX$3,0) ))</f>
        <v>#N/A</v>
      </c>
      <c r="CC24" s="599"/>
      <c r="CD24" s="268"/>
      <c r="CE24" s="268"/>
      <c r="CF24" s="268"/>
      <c r="CG24" s="268"/>
      <c r="CH24" s="268"/>
      <c r="CI24" s="268"/>
      <c r="CJ24" s="268"/>
      <c r="CK24" s="268"/>
      <c r="CL24" s="268"/>
      <c r="CM24" s="268"/>
      <c r="CN24" s="268"/>
      <c r="CO24" s="268"/>
      <c r="CP24" s="268"/>
      <c r="CQ24" s="268"/>
      <c r="CR24" s="268"/>
      <c r="CS24" s="268"/>
      <c r="CT24" s="268"/>
      <c r="CU24" s="268"/>
      <c r="CV24" s="268"/>
      <c r="CW24" s="268"/>
      <c r="CX24" s="268"/>
      <c r="CY24" s="268"/>
      <c r="CZ24" s="268"/>
      <c r="DA24" s="268"/>
      <c r="DB24" s="268"/>
      <c r="DC24" s="268"/>
      <c r="DD24" s="268"/>
      <c r="DE24" s="268"/>
      <c r="DF24" s="268"/>
      <c r="DG24" s="268"/>
      <c r="DH24" s="268"/>
      <c r="DI24" s="268"/>
      <c r="DJ24" s="268"/>
      <c r="DK24" s="268"/>
      <c r="DL24" s="268"/>
      <c r="DM24" s="268"/>
      <c r="DN24" s="268"/>
      <c r="DO24" s="268"/>
      <c r="DP24" s="268"/>
      <c r="DQ24" s="268"/>
      <c r="DR24" s="268"/>
      <c r="DS24" s="268"/>
      <c r="DT24" s="268"/>
      <c r="DU24" s="268"/>
      <c r="DV24" s="268"/>
      <c r="DW24" s="268"/>
      <c r="DX24" s="268"/>
      <c r="DY24" s="268"/>
      <c r="DZ24" s="268"/>
      <c r="EA24" s="268"/>
      <c r="EB24" s="268"/>
      <c r="EC24" s="268"/>
      <c r="ED24" s="268"/>
      <c r="EE24" s="268"/>
      <c r="EF24" s="268"/>
      <c r="EG24" s="268"/>
      <c r="EH24" s="268"/>
    </row>
    <row r="25" spans="1:138" ht="15.95" collapsed="1">
      <c r="A25" s="474"/>
      <c r="B25" s="609"/>
      <c r="C25" s="289" t="s">
        <v>257</v>
      </c>
      <c r="D25" s="290"/>
      <c r="E25" s="291">
        <f t="shared" ref="E25:BY25" si="8">SUM(E26:E27)</f>
        <v>0</v>
      </c>
      <c r="F25" s="291">
        <f t="shared" si="8"/>
        <v>0</v>
      </c>
      <c r="G25" s="291">
        <f t="shared" si="8"/>
        <v>0</v>
      </c>
      <c r="H25" s="291">
        <f t="shared" si="8"/>
        <v>0</v>
      </c>
      <c r="I25" s="291">
        <f t="shared" si="8"/>
        <v>0</v>
      </c>
      <c r="J25" s="291">
        <f t="shared" si="8"/>
        <v>0</v>
      </c>
      <c r="K25" s="291">
        <f t="shared" si="8"/>
        <v>0</v>
      </c>
      <c r="L25" s="291">
        <f t="shared" si="8"/>
        <v>0</v>
      </c>
      <c r="M25" s="291">
        <f t="shared" si="8"/>
        <v>0</v>
      </c>
      <c r="N25" s="291">
        <f t="shared" si="8"/>
        <v>0</v>
      </c>
      <c r="O25" s="291">
        <f t="shared" si="8"/>
        <v>0</v>
      </c>
      <c r="P25" s="291">
        <f t="shared" si="8"/>
        <v>0</v>
      </c>
      <c r="Q25" s="291">
        <f t="shared" si="8"/>
        <v>0</v>
      </c>
      <c r="R25" s="291">
        <f t="shared" si="8"/>
        <v>0</v>
      </c>
      <c r="S25" s="291">
        <f t="shared" si="8"/>
        <v>0</v>
      </c>
      <c r="T25" s="291">
        <f t="shared" si="8"/>
        <v>0</v>
      </c>
      <c r="U25" s="291">
        <f t="shared" si="8"/>
        <v>0</v>
      </c>
      <c r="V25" s="291">
        <f t="shared" si="8"/>
        <v>0</v>
      </c>
      <c r="W25" s="291">
        <f t="shared" si="8"/>
        <v>-200000</v>
      </c>
      <c r="X25" s="291">
        <f t="shared" si="8"/>
        <v>-200000</v>
      </c>
      <c r="Y25" s="291">
        <f t="shared" si="8"/>
        <v>-200000</v>
      </c>
      <c r="Z25" s="291">
        <f t="shared" si="8"/>
        <v>-200000</v>
      </c>
      <c r="AA25" s="291">
        <f t="shared" si="8"/>
        <v>0</v>
      </c>
      <c r="AB25" s="291">
        <f t="shared" si="8"/>
        <v>0</v>
      </c>
      <c r="AC25" s="291">
        <f t="shared" si="8"/>
        <v>0</v>
      </c>
      <c r="AD25" s="291">
        <f t="shared" si="8"/>
        <v>0</v>
      </c>
      <c r="AE25" s="291">
        <f t="shared" si="8"/>
        <v>0</v>
      </c>
      <c r="AF25" s="291">
        <f t="shared" si="8"/>
        <v>0</v>
      </c>
      <c r="AG25" s="291">
        <f t="shared" si="8"/>
        <v>0</v>
      </c>
      <c r="AH25" s="291">
        <f t="shared" si="8"/>
        <v>0</v>
      </c>
      <c r="AI25" s="291">
        <f t="shared" si="8"/>
        <v>0</v>
      </c>
      <c r="AJ25" s="291">
        <f t="shared" si="8"/>
        <v>0</v>
      </c>
      <c r="AK25" s="291">
        <f t="shared" si="8"/>
        <v>0</v>
      </c>
      <c r="AL25" s="291">
        <f t="shared" si="8"/>
        <v>0</v>
      </c>
      <c r="AM25" s="291">
        <f t="shared" si="8"/>
        <v>0</v>
      </c>
      <c r="AN25" s="291">
        <f t="shared" si="8"/>
        <v>0</v>
      </c>
      <c r="AO25" s="291">
        <f t="shared" si="8"/>
        <v>0</v>
      </c>
      <c r="AP25" s="291">
        <f t="shared" si="8"/>
        <v>0</v>
      </c>
      <c r="AQ25" s="291">
        <f t="shared" si="8"/>
        <v>0</v>
      </c>
      <c r="AR25" s="291">
        <f t="shared" si="8"/>
        <v>0</v>
      </c>
      <c r="AS25" s="291">
        <f t="shared" si="8"/>
        <v>0</v>
      </c>
      <c r="AT25" s="291">
        <f t="shared" si="8"/>
        <v>0</v>
      </c>
      <c r="AU25" s="291">
        <f t="shared" si="8"/>
        <v>0</v>
      </c>
      <c r="AV25" s="291">
        <f t="shared" si="8"/>
        <v>0</v>
      </c>
      <c r="AW25" s="291">
        <f t="shared" si="8"/>
        <v>0</v>
      </c>
      <c r="AX25" s="291">
        <f t="shared" si="8"/>
        <v>0</v>
      </c>
      <c r="AY25" s="291">
        <f t="shared" si="8"/>
        <v>0</v>
      </c>
      <c r="AZ25" s="291">
        <f t="shared" si="8"/>
        <v>0</v>
      </c>
      <c r="BA25" s="291">
        <f t="shared" si="8"/>
        <v>0</v>
      </c>
      <c r="BB25" s="291">
        <f t="shared" si="8"/>
        <v>0</v>
      </c>
      <c r="BC25" s="291">
        <f t="shared" si="8"/>
        <v>0</v>
      </c>
      <c r="BD25" s="291">
        <f t="shared" si="8"/>
        <v>0</v>
      </c>
      <c r="BE25" s="291">
        <f t="shared" si="8"/>
        <v>0</v>
      </c>
      <c r="BF25" s="291">
        <f t="shared" si="8"/>
        <v>0</v>
      </c>
      <c r="BG25" s="291">
        <f t="shared" si="8"/>
        <v>0</v>
      </c>
      <c r="BH25" s="291">
        <f t="shared" si="8"/>
        <v>0</v>
      </c>
      <c r="BI25" s="291">
        <f t="shared" si="8"/>
        <v>0</v>
      </c>
      <c r="BJ25" s="291">
        <f t="shared" si="8"/>
        <v>0</v>
      </c>
      <c r="BK25" s="291">
        <f t="shared" si="8"/>
        <v>0</v>
      </c>
      <c r="BL25" s="291">
        <f t="shared" si="8"/>
        <v>0</v>
      </c>
      <c r="BM25" s="291">
        <f t="shared" si="8"/>
        <v>0</v>
      </c>
      <c r="BN25" s="291">
        <f t="shared" si="8"/>
        <v>0</v>
      </c>
      <c r="BO25" s="291">
        <f t="shared" si="8"/>
        <v>0</v>
      </c>
      <c r="BP25" s="291">
        <f t="shared" si="8"/>
        <v>0</v>
      </c>
      <c r="BQ25" s="291">
        <f t="shared" si="8"/>
        <v>0</v>
      </c>
      <c r="BR25" s="291">
        <f t="shared" si="8"/>
        <v>0</v>
      </c>
      <c r="BS25" s="291">
        <f t="shared" si="8"/>
        <v>0</v>
      </c>
      <c r="BT25" s="291">
        <f t="shared" si="8"/>
        <v>0</v>
      </c>
      <c r="BU25" s="291">
        <f t="shared" si="8"/>
        <v>0</v>
      </c>
      <c r="BV25" s="291">
        <f t="shared" si="8"/>
        <v>0</v>
      </c>
      <c r="BW25" s="291">
        <f t="shared" si="8"/>
        <v>0</v>
      </c>
      <c r="BX25" s="291">
        <f t="shared" si="8"/>
        <v>0</v>
      </c>
      <c r="BY25" s="292">
        <f t="shared" si="8"/>
        <v>-800000</v>
      </c>
      <c r="BZ25" s="599"/>
      <c r="CA25" s="268"/>
      <c r="CB25" s="293" t="e">
        <f t="array" aca="1" ref="CB25" ca="1">SUM(INDEX(E25:BX25, , 1):INDEX(E25:BX25, ,MATCH($CB$4, $E$3:$BX$3,0) ))</f>
        <v>#N/A</v>
      </c>
      <c r="CC25" s="599"/>
      <c r="CD25" s="268"/>
      <c r="CE25" s="268"/>
      <c r="CF25" s="268"/>
      <c r="CG25" s="268"/>
      <c r="CH25" s="268"/>
      <c r="CI25" s="268"/>
      <c r="CJ25" s="268"/>
      <c r="CK25" s="268"/>
      <c r="CL25" s="268"/>
      <c r="CM25" s="268"/>
      <c r="CN25" s="268"/>
      <c r="CO25" s="268"/>
      <c r="CP25" s="268"/>
      <c r="CQ25" s="268"/>
      <c r="CR25" s="268"/>
      <c r="CS25" s="268"/>
      <c r="CT25" s="268"/>
      <c r="CU25" s="268"/>
      <c r="CV25" s="268"/>
      <c r="CW25" s="268"/>
      <c r="CX25" s="268"/>
      <c r="CY25" s="268"/>
      <c r="CZ25" s="268"/>
      <c r="DA25" s="268"/>
      <c r="DB25" s="268"/>
      <c r="DC25" s="268"/>
      <c r="DD25" s="268"/>
      <c r="DE25" s="268"/>
      <c r="DF25" s="268"/>
      <c r="DG25" s="268"/>
      <c r="DH25" s="268"/>
      <c r="DI25" s="268"/>
      <c r="DJ25" s="268"/>
      <c r="DK25" s="268"/>
      <c r="DL25" s="268"/>
      <c r="DM25" s="268"/>
      <c r="DN25" s="268"/>
      <c r="DO25" s="268"/>
      <c r="DP25" s="268"/>
      <c r="DQ25" s="268"/>
      <c r="DR25" s="268"/>
      <c r="DS25" s="268"/>
      <c r="DT25" s="268"/>
      <c r="DU25" s="268"/>
      <c r="DV25" s="268"/>
      <c r="DW25" s="268"/>
      <c r="DX25" s="268"/>
      <c r="DY25" s="268"/>
      <c r="DZ25" s="268"/>
      <c r="EA25" s="268"/>
      <c r="EB25" s="268"/>
      <c r="EC25" s="268"/>
      <c r="ED25" s="268"/>
      <c r="EE25" s="268"/>
      <c r="EF25" s="268"/>
      <c r="EG25" s="268"/>
      <c r="EH25" s="268"/>
    </row>
    <row r="26" spans="1:138" ht="15.95" hidden="1" outlineLevel="1">
      <c r="A26" s="474"/>
      <c r="B26" s="609"/>
      <c r="C26" s="294" t="s">
        <v>258</v>
      </c>
      <c r="D26" s="298" t="s">
        <v>245</v>
      </c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>
        <f>-Businessplan_prodej!$F$21/4</f>
        <v>-200000</v>
      </c>
      <c r="X26" s="299">
        <f>-Businessplan_prodej!$F$21/4</f>
        <v>-200000</v>
      </c>
      <c r="Y26" s="299">
        <f>-Businessplan_prodej!$F$21/4</f>
        <v>-200000</v>
      </c>
      <c r="Z26" s="299">
        <f>-Businessplan_prodej!$F$21/4</f>
        <v>-200000</v>
      </c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299"/>
      <c r="AL26" s="299"/>
      <c r="AM26" s="299"/>
      <c r="AN26" s="299"/>
      <c r="AO26" s="299"/>
      <c r="AP26" s="299"/>
      <c r="AQ26" s="299"/>
      <c r="AR26" s="299"/>
      <c r="AS26" s="299"/>
      <c r="AT26" s="299"/>
      <c r="AU26" s="299"/>
      <c r="AV26" s="299"/>
      <c r="AW26" s="299"/>
      <c r="AX26" s="299"/>
      <c r="AY26" s="299"/>
      <c r="AZ26" s="299"/>
      <c r="BA26" s="299"/>
      <c r="BB26" s="299"/>
      <c r="BC26" s="299"/>
      <c r="BD26" s="299"/>
      <c r="BE26" s="299"/>
      <c r="BF26" s="299"/>
      <c r="BG26" s="299"/>
      <c r="BH26" s="299"/>
      <c r="BI26" s="299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  <c r="BU26" s="299"/>
      <c r="BV26" s="299"/>
      <c r="BW26" s="299"/>
      <c r="BX26" s="299"/>
      <c r="BY26" s="300">
        <f t="shared" ref="BY26:BY27" si="9">SUM(E26:BX26)</f>
        <v>-800000</v>
      </c>
      <c r="BZ26" s="599"/>
      <c r="CA26" s="268"/>
      <c r="CB26" s="293" t="e">
        <f ca="1">SUM(INDEX(AC26:BX26, , 1):INDEX(AC26:BX26, ,MATCH(#REF!, $E$3:$BX$3,0) ))</f>
        <v>#REF!</v>
      </c>
      <c r="CC26" s="599"/>
      <c r="CD26" s="268"/>
      <c r="CE26" s="268"/>
      <c r="CF26" s="268"/>
      <c r="CG26" s="268"/>
      <c r="CH26" s="268"/>
      <c r="CI26" s="268"/>
      <c r="CJ26" s="268"/>
      <c r="CK26" s="268"/>
      <c r="CL26" s="268"/>
      <c r="CM26" s="268"/>
      <c r="CN26" s="268"/>
      <c r="CO26" s="268"/>
      <c r="CP26" s="268"/>
      <c r="CQ26" s="268"/>
      <c r="CR26" s="268"/>
      <c r="CS26" s="268"/>
      <c r="CT26" s="268"/>
      <c r="CU26" s="268"/>
      <c r="CV26" s="268"/>
      <c r="CW26" s="268"/>
      <c r="CX26" s="268"/>
      <c r="CY26" s="268"/>
      <c r="CZ26" s="268"/>
      <c r="DA26" s="268"/>
      <c r="DB26" s="268"/>
      <c r="DC26" s="268"/>
      <c r="DD26" s="268"/>
      <c r="DE26" s="268"/>
      <c r="DF26" s="268"/>
      <c r="DG26" s="268"/>
      <c r="DH26" s="268"/>
      <c r="DI26" s="268"/>
      <c r="DJ26" s="268"/>
      <c r="DK26" s="268"/>
      <c r="DL26" s="268"/>
      <c r="DM26" s="268"/>
      <c r="DN26" s="268"/>
      <c r="DO26" s="268"/>
      <c r="DP26" s="268"/>
      <c r="DQ26" s="268"/>
      <c r="DR26" s="268"/>
      <c r="DS26" s="268"/>
      <c r="DT26" s="268"/>
      <c r="DU26" s="268"/>
      <c r="DV26" s="268"/>
      <c r="DW26" s="268"/>
      <c r="DX26" s="268"/>
      <c r="DY26" s="268"/>
      <c r="DZ26" s="268"/>
      <c r="EA26" s="268"/>
      <c r="EB26" s="268"/>
      <c r="EC26" s="268"/>
      <c r="ED26" s="268"/>
      <c r="EE26" s="268"/>
      <c r="EF26" s="268"/>
      <c r="EG26" s="268"/>
      <c r="EH26" s="268"/>
    </row>
    <row r="27" spans="1:138" ht="15.95" hidden="1" outlineLevel="1">
      <c r="A27" s="474"/>
      <c r="B27" s="609"/>
      <c r="C27" s="294" t="s">
        <v>259</v>
      </c>
      <c r="D27" s="298" t="s">
        <v>245</v>
      </c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  <c r="AL27" s="299"/>
      <c r="AM27" s="299"/>
      <c r="AN27" s="299"/>
      <c r="AO27" s="299"/>
      <c r="AP27" s="299"/>
      <c r="AQ27" s="299"/>
      <c r="AR27" s="299"/>
      <c r="AS27" s="299"/>
      <c r="AT27" s="299"/>
      <c r="AU27" s="299"/>
      <c r="AV27" s="299"/>
      <c r="AW27" s="299"/>
      <c r="AX27" s="299"/>
      <c r="AY27" s="299"/>
      <c r="AZ27" s="299"/>
      <c r="BA27" s="299"/>
      <c r="BB27" s="299"/>
      <c r="BC27" s="299"/>
      <c r="BD27" s="299"/>
      <c r="BE27" s="299"/>
      <c r="BF27" s="299"/>
      <c r="BG27" s="299"/>
      <c r="BH27" s="299"/>
      <c r="BI27" s="299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  <c r="BU27" s="299"/>
      <c r="BV27" s="299"/>
      <c r="BW27" s="299"/>
      <c r="BX27" s="299"/>
      <c r="BY27" s="300">
        <f t="shared" si="9"/>
        <v>0</v>
      </c>
      <c r="BZ27" s="599"/>
      <c r="CA27" s="268"/>
      <c r="CB27" s="293" t="e">
        <f ca="1">SUM(INDEX(AC27:BX27, , 1):INDEX(AC27:BX27, ,MATCH(#REF!, $E$3:$BX$3,0) ))</f>
        <v>#REF!</v>
      </c>
      <c r="CC27" s="599"/>
      <c r="CD27" s="268"/>
      <c r="CE27" s="268"/>
      <c r="CF27" s="268"/>
      <c r="CG27" s="268"/>
      <c r="CH27" s="268"/>
      <c r="CI27" s="268"/>
      <c r="CJ27" s="268"/>
      <c r="CK27" s="268"/>
      <c r="CL27" s="268"/>
      <c r="CM27" s="268"/>
      <c r="CN27" s="268"/>
      <c r="CO27" s="268"/>
      <c r="CP27" s="268"/>
      <c r="CQ27" s="268"/>
      <c r="CR27" s="268"/>
      <c r="CS27" s="268"/>
      <c r="CT27" s="268"/>
      <c r="CU27" s="268"/>
      <c r="CV27" s="268"/>
      <c r="CW27" s="268"/>
      <c r="CX27" s="268"/>
      <c r="CY27" s="268"/>
      <c r="CZ27" s="268"/>
      <c r="DA27" s="268"/>
      <c r="DB27" s="268"/>
      <c r="DC27" s="268"/>
      <c r="DD27" s="268"/>
      <c r="DE27" s="268"/>
      <c r="DF27" s="268"/>
      <c r="DG27" s="268"/>
      <c r="DH27" s="268"/>
      <c r="DI27" s="268"/>
      <c r="DJ27" s="268"/>
      <c r="DK27" s="268"/>
      <c r="DL27" s="268"/>
      <c r="DM27" s="268"/>
      <c r="DN27" s="268"/>
      <c r="DO27" s="268"/>
      <c r="DP27" s="268"/>
      <c r="DQ27" s="268"/>
      <c r="DR27" s="268"/>
      <c r="DS27" s="268"/>
      <c r="DT27" s="268"/>
      <c r="DU27" s="268"/>
      <c r="DV27" s="268"/>
      <c r="DW27" s="268"/>
      <c r="DX27" s="268"/>
      <c r="DY27" s="268"/>
      <c r="DZ27" s="268"/>
      <c r="EA27" s="268"/>
      <c r="EB27" s="268"/>
      <c r="EC27" s="268"/>
      <c r="ED27" s="268"/>
      <c r="EE27" s="268"/>
      <c r="EF27" s="268"/>
      <c r="EG27" s="268"/>
      <c r="EH27" s="268"/>
    </row>
    <row r="28" spans="1:138" ht="15.95">
      <c r="A28" s="474"/>
      <c r="B28" s="609"/>
      <c r="C28" s="289" t="s">
        <v>260</v>
      </c>
      <c r="D28" s="290"/>
      <c r="E28" s="291">
        <f t="shared" ref="E28:BX28" si="10">SUM(E29:E35)</f>
        <v>0</v>
      </c>
      <c r="F28" s="291">
        <f t="shared" si="10"/>
        <v>0</v>
      </c>
      <c r="G28" s="291">
        <f t="shared" si="10"/>
        <v>0</v>
      </c>
      <c r="H28" s="291">
        <f t="shared" si="10"/>
        <v>0</v>
      </c>
      <c r="I28" s="291">
        <f t="shared" si="10"/>
        <v>0</v>
      </c>
      <c r="J28" s="291">
        <f t="shared" si="10"/>
        <v>0</v>
      </c>
      <c r="K28" s="291">
        <f t="shared" si="10"/>
        <v>0</v>
      </c>
      <c r="L28" s="291">
        <f t="shared" si="10"/>
        <v>0</v>
      </c>
      <c r="M28" s="291">
        <f t="shared" si="10"/>
        <v>0</v>
      </c>
      <c r="N28" s="291">
        <f t="shared" si="10"/>
        <v>0</v>
      </c>
      <c r="O28" s="291">
        <f t="shared" si="10"/>
        <v>0</v>
      </c>
      <c r="P28" s="291">
        <f t="shared" si="10"/>
        <v>0</v>
      </c>
      <c r="Q28" s="291">
        <f t="shared" si="10"/>
        <v>0</v>
      </c>
      <c r="R28" s="291">
        <f t="shared" si="10"/>
        <v>0</v>
      </c>
      <c r="S28" s="291">
        <f t="shared" si="10"/>
        <v>0</v>
      </c>
      <c r="T28" s="291">
        <f t="shared" si="10"/>
        <v>0</v>
      </c>
      <c r="U28" s="291">
        <f t="shared" si="10"/>
        <v>0</v>
      </c>
      <c r="V28" s="291">
        <f t="shared" si="10"/>
        <v>0</v>
      </c>
      <c r="W28" s="291">
        <f t="shared" si="10"/>
        <v>0</v>
      </c>
      <c r="X28" s="291">
        <f t="shared" si="10"/>
        <v>-53383.63636363636</v>
      </c>
      <c r="Y28" s="291">
        <f t="shared" si="10"/>
        <v>-10628041.396363636</v>
      </c>
      <c r="Z28" s="291">
        <f t="shared" si="10"/>
        <v>-10628041.396363636</v>
      </c>
      <c r="AA28" s="291">
        <f t="shared" si="10"/>
        <v>-10628041.396363636</v>
      </c>
      <c r="AB28" s="291">
        <f t="shared" si="10"/>
        <v>-10628041.396363636</v>
      </c>
      <c r="AC28" s="291">
        <f t="shared" si="10"/>
        <v>-10628041.396363636</v>
      </c>
      <c r="AD28" s="291">
        <f t="shared" si="10"/>
        <v>-10628041.396363636</v>
      </c>
      <c r="AE28" s="291">
        <f t="shared" si="10"/>
        <v>-10628041.396363636</v>
      </c>
      <c r="AF28" s="291">
        <f t="shared" si="10"/>
        <v>-10628041.396363636</v>
      </c>
      <c r="AG28" s="291">
        <f t="shared" si="10"/>
        <v>-10628041.396363636</v>
      </c>
      <c r="AH28" s="291">
        <f t="shared" si="10"/>
        <v>-10628041.396363636</v>
      </c>
      <c r="AI28" s="291">
        <f t="shared" si="10"/>
        <v>0</v>
      </c>
      <c r="AJ28" s="291">
        <f t="shared" si="10"/>
        <v>0</v>
      </c>
      <c r="AK28" s="291">
        <f t="shared" si="10"/>
        <v>0</v>
      </c>
      <c r="AL28" s="291">
        <f t="shared" si="10"/>
        <v>0</v>
      </c>
      <c r="AM28" s="291">
        <f t="shared" si="10"/>
        <v>0</v>
      </c>
      <c r="AN28" s="291">
        <f t="shared" si="10"/>
        <v>0</v>
      </c>
      <c r="AO28" s="291">
        <f t="shared" si="10"/>
        <v>0</v>
      </c>
      <c r="AP28" s="291">
        <f t="shared" si="10"/>
        <v>0</v>
      </c>
      <c r="AQ28" s="291">
        <f t="shared" si="10"/>
        <v>0</v>
      </c>
      <c r="AR28" s="291">
        <f t="shared" si="10"/>
        <v>0</v>
      </c>
      <c r="AS28" s="291">
        <f t="shared" si="10"/>
        <v>0</v>
      </c>
      <c r="AT28" s="291">
        <f t="shared" si="10"/>
        <v>0</v>
      </c>
      <c r="AU28" s="291">
        <f t="shared" si="10"/>
        <v>0</v>
      </c>
      <c r="AV28" s="291">
        <f t="shared" si="10"/>
        <v>0</v>
      </c>
      <c r="AW28" s="291">
        <f t="shared" si="10"/>
        <v>0</v>
      </c>
      <c r="AX28" s="291">
        <f t="shared" si="10"/>
        <v>0</v>
      </c>
      <c r="AY28" s="291">
        <f t="shared" si="10"/>
        <v>0</v>
      </c>
      <c r="AZ28" s="291">
        <f t="shared" si="10"/>
        <v>0</v>
      </c>
      <c r="BA28" s="291">
        <f t="shared" si="10"/>
        <v>0</v>
      </c>
      <c r="BB28" s="291">
        <f t="shared" si="10"/>
        <v>0</v>
      </c>
      <c r="BC28" s="291">
        <f t="shared" si="10"/>
        <v>0</v>
      </c>
      <c r="BD28" s="291">
        <f t="shared" si="10"/>
        <v>0</v>
      </c>
      <c r="BE28" s="291">
        <f t="shared" si="10"/>
        <v>0</v>
      </c>
      <c r="BF28" s="291">
        <f t="shared" si="10"/>
        <v>0</v>
      </c>
      <c r="BG28" s="291">
        <f t="shared" si="10"/>
        <v>0</v>
      </c>
      <c r="BH28" s="291">
        <f t="shared" si="10"/>
        <v>0</v>
      </c>
      <c r="BI28" s="291">
        <f t="shared" si="10"/>
        <v>0</v>
      </c>
      <c r="BJ28" s="291">
        <f t="shared" si="10"/>
        <v>0</v>
      </c>
      <c r="BK28" s="291">
        <f t="shared" si="10"/>
        <v>0</v>
      </c>
      <c r="BL28" s="291">
        <f t="shared" si="10"/>
        <v>0</v>
      </c>
      <c r="BM28" s="291">
        <f t="shared" si="10"/>
        <v>0</v>
      </c>
      <c r="BN28" s="291">
        <f t="shared" si="10"/>
        <v>0</v>
      </c>
      <c r="BO28" s="291">
        <f t="shared" si="10"/>
        <v>0</v>
      </c>
      <c r="BP28" s="291">
        <f t="shared" si="10"/>
        <v>0</v>
      </c>
      <c r="BQ28" s="291">
        <f t="shared" si="10"/>
        <v>0</v>
      </c>
      <c r="BR28" s="291">
        <f t="shared" si="10"/>
        <v>0</v>
      </c>
      <c r="BS28" s="291">
        <f t="shared" si="10"/>
        <v>0</v>
      </c>
      <c r="BT28" s="291">
        <f t="shared" si="10"/>
        <v>0</v>
      </c>
      <c r="BU28" s="291">
        <f t="shared" si="10"/>
        <v>0</v>
      </c>
      <c r="BV28" s="291">
        <f t="shared" si="10"/>
        <v>0</v>
      </c>
      <c r="BW28" s="291">
        <f t="shared" si="10"/>
        <v>0</v>
      </c>
      <c r="BX28" s="291">
        <f t="shared" si="10"/>
        <v>0</v>
      </c>
      <c r="BY28" s="293">
        <f>SUM(BY29:BY35)</f>
        <v>-106333797.59999999</v>
      </c>
      <c r="BZ28" s="599"/>
      <c r="CA28" s="268"/>
      <c r="CB28" s="293" t="e">
        <f t="array" aca="1" ref="CB28" ca="1">SUM(INDEX(E28:BX28, , 1):INDEX(E28:BX28, ,MATCH($CB$4, $E$3:$BX$3,0) ))</f>
        <v>#N/A</v>
      </c>
      <c r="CC28" s="599"/>
      <c r="CD28" s="268"/>
      <c r="CE28" s="268"/>
      <c r="CF28" s="268"/>
      <c r="CG28" s="268"/>
      <c r="CH28" s="268"/>
      <c r="CI28" s="268"/>
      <c r="CJ28" s="268"/>
      <c r="CK28" s="268"/>
      <c r="CL28" s="268"/>
      <c r="CM28" s="268"/>
      <c r="CN28" s="268"/>
      <c r="CO28" s="268"/>
      <c r="CP28" s="268"/>
      <c r="CQ28" s="268"/>
      <c r="CR28" s="268"/>
      <c r="CS28" s="268"/>
      <c r="CT28" s="268"/>
      <c r="CU28" s="268"/>
      <c r="CV28" s="268"/>
      <c r="CW28" s="268"/>
      <c r="CX28" s="268"/>
      <c r="CY28" s="268"/>
      <c r="CZ28" s="268"/>
      <c r="DA28" s="268"/>
      <c r="DB28" s="268"/>
      <c r="DC28" s="268"/>
      <c r="DD28" s="268"/>
      <c r="DE28" s="268"/>
      <c r="DF28" s="268"/>
      <c r="DG28" s="268"/>
      <c r="DH28" s="268"/>
      <c r="DI28" s="268"/>
      <c r="DJ28" s="268"/>
      <c r="DK28" s="268"/>
      <c r="DL28" s="268"/>
      <c r="DM28" s="268"/>
      <c r="DN28" s="268"/>
      <c r="DO28" s="268"/>
      <c r="DP28" s="268"/>
      <c r="DQ28" s="268"/>
      <c r="DR28" s="268"/>
      <c r="DS28" s="268"/>
      <c r="DT28" s="268"/>
      <c r="DU28" s="268"/>
      <c r="DV28" s="268"/>
      <c r="DW28" s="268"/>
      <c r="DX28" s="268"/>
      <c r="DY28" s="268"/>
      <c r="DZ28" s="268"/>
      <c r="EA28" s="268"/>
      <c r="EB28" s="268"/>
      <c r="EC28" s="268"/>
      <c r="ED28" s="268"/>
      <c r="EE28" s="268"/>
      <c r="EF28" s="268"/>
      <c r="EG28" s="268"/>
      <c r="EH28" s="268"/>
    </row>
    <row r="29" spans="1:138" ht="15.95" outlineLevel="1">
      <c r="A29" s="474"/>
      <c r="B29" s="609"/>
      <c r="C29" s="294" t="s">
        <v>261</v>
      </c>
      <c r="D29" s="295" t="s">
        <v>245</v>
      </c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>
        <f>-Businessplan_prodej!$F$30/10</f>
        <v>-9787000</v>
      </c>
      <c r="Z29" s="296">
        <f>-Businessplan_prodej!$F$30/10</f>
        <v>-9787000</v>
      </c>
      <c r="AA29" s="296">
        <f>-Businessplan_prodej!$F$30/10</f>
        <v>-9787000</v>
      </c>
      <c r="AB29" s="296">
        <f>-Businessplan_prodej!$F$30/10</f>
        <v>-9787000</v>
      </c>
      <c r="AC29" s="296">
        <f>-Businessplan_prodej!$F$30/10</f>
        <v>-9787000</v>
      </c>
      <c r="AD29" s="296">
        <f>-Businessplan_prodej!$F$30/10</f>
        <v>-9787000</v>
      </c>
      <c r="AE29" s="296">
        <f>-Businessplan_prodej!$F$30/10</f>
        <v>-9787000</v>
      </c>
      <c r="AF29" s="296">
        <f>-Businessplan_prodej!$F$30/10</f>
        <v>-9787000</v>
      </c>
      <c r="AG29" s="296">
        <f>-Businessplan_prodej!$F$30/10</f>
        <v>-9787000</v>
      </c>
      <c r="AH29" s="296">
        <f>-Businessplan_prodej!$F$30/10</f>
        <v>-9787000</v>
      </c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6"/>
      <c r="BO29" s="296"/>
      <c r="BP29" s="296"/>
      <c r="BQ29" s="296"/>
      <c r="BR29" s="296"/>
      <c r="BS29" s="296"/>
      <c r="BT29" s="296"/>
      <c r="BU29" s="296"/>
      <c r="BV29" s="296"/>
      <c r="BW29" s="296"/>
      <c r="BX29" s="301"/>
      <c r="BY29" s="302">
        <f t="shared" ref="BY29:BY35" si="11">SUM(E29:BX29)</f>
        <v>-97870000</v>
      </c>
      <c r="BZ29" s="599"/>
      <c r="CA29" s="268"/>
      <c r="CB29" s="293" t="e">
        <f ca="1">SUM(INDEX(AC29:BX29, , 1):INDEX(AC29:BX29, ,MATCH(#REF!, $E$3:$BX$3,0) ))</f>
        <v>#REF!</v>
      </c>
      <c r="CC29" s="599"/>
      <c r="CD29" s="268"/>
      <c r="CE29" s="268"/>
      <c r="CF29" s="268"/>
      <c r="CG29" s="268"/>
      <c r="CH29" s="268"/>
      <c r="CI29" s="268"/>
      <c r="CJ29" s="268"/>
      <c r="CK29" s="268"/>
      <c r="CL29" s="268"/>
      <c r="CM29" s="268"/>
      <c r="CN29" s="268"/>
      <c r="CO29" s="268"/>
      <c r="CP29" s="268"/>
      <c r="CQ29" s="268"/>
      <c r="CR29" s="268"/>
      <c r="CS29" s="268"/>
      <c r="CT29" s="268"/>
      <c r="CU29" s="268"/>
      <c r="CV29" s="268"/>
      <c r="CW29" s="268"/>
      <c r="CX29" s="268"/>
      <c r="CY29" s="268"/>
      <c r="CZ29" s="268"/>
      <c r="DA29" s="268"/>
      <c r="DB29" s="268"/>
      <c r="DC29" s="268"/>
      <c r="DD29" s="268"/>
      <c r="DE29" s="268"/>
      <c r="DF29" s="268"/>
      <c r="DG29" s="268"/>
      <c r="DH29" s="268"/>
      <c r="DI29" s="268"/>
      <c r="DJ29" s="268"/>
      <c r="DK29" s="268"/>
      <c r="DL29" s="268"/>
      <c r="DM29" s="268"/>
      <c r="DN29" s="268"/>
      <c r="DO29" s="268"/>
      <c r="DP29" s="268"/>
      <c r="DQ29" s="268"/>
      <c r="DR29" s="268"/>
      <c r="DS29" s="268"/>
      <c r="DT29" s="268"/>
      <c r="DU29" s="268"/>
      <c r="DV29" s="268"/>
      <c r="DW29" s="268"/>
      <c r="DX29" s="268"/>
      <c r="DY29" s="268"/>
      <c r="DZ29" s="268"/>
      <c r="EA29" s="268"/>
      <c r="EB29" s="268"/>
      <c r="EC29" s="268"/>
      <c r="ED29" s="268"/>
      <c r="EE29" s="268"/>
      <c r="EF29" s="268"/>
      <c r="EG29" s="268"/>
      <c r="EH29" s="268"/>
    </row>
    <row r="30" spans="1:138" ht="15.95" outlineLevel="1">
      <c r="A30" s="474"/>
      <c r="B30" s="609"/>
      <c r="C30" s="294" t="s">
        <v>262</v>
      </c>
      <c r="D30" s="295" t="s">
        <v>245</v>
      </c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6"/>
      <c r="BN30" s="296"/>
      <c r="BO30" s="296"/>
      <c r="BP30" s="296"/>
      <c r="BQ30" s="296"/>
      <c r="BR30" s="296"/>
      <c r="BS30" s="296"/>
      <c r="BT30" s="296"/>
      <c r="BU30" s="296"/>
      <c r="BV30" s="296"/>
      <c r="BW30" s="296"/>
      <c r="BX30" s="301"/>
      <c r="BY30" s="303">
        <f t="shared" si="11"/>
        <v>0</v>
      </c>
      <c r="BZ30" s="599"/>
      <c r="CA30" s="268"/>
      <c r="CB30" s="293" t="e">
        <f ca="1">SUM(INDEX(AC30:BX30, , 1):INDEX(AC30:BX30, ,MATCH(#REF!, $E$3:$BX$3,0) ))</f>
        <v>#REF!</v>
      </c>
      <c r="CC30" s="599"/>
      <c r="CD30" s="268"/>
      <c r="CE30" s="268"/>
      <c r="CF30" s="268"/>
      <c r="CG30" s="268"/>
      <c r="CH30" s="268"/>
      <c r="CI30" s="268"/>
      <c r="CJ30" s="268"/>
      <c r="CK30" s="268"/>
      <c r="CL30" s="268"/>
      <c r="CM30" s="268"/>
      <c r="CN30" s="268"/>
      <c r="CO30" s="268"/>
      <c r="CP30" s="268"/>
      <c r="CQ30" s="268"/>
      <c r="CR30" s="268"/>
      <c r="CS30" s="268"/>
      <c r="CT30" s="268"/>
      <c r="CU30" s="268"/>
      <c r="CV30" s="268"/>
      <c r="CW30" s="268"/>
      <c r="CX30" s="268"/>
      <c r="CY30" s="268"/>
      <c r="CZ30" s="268"/>
      <c r="DA30" s="268"/>
      <c r="DB30" s="268"/>
      <c r="DC30" s="268"/>
      <c r="DD30" s="268"/>
      <c r="DE30" s="268"/>
      <c r="DF30" s="268"/>
      <c r="DG30" s="268"/>
      <c r="DH30" s="268"/>
      <c r="DI30" s="268"/>
      <c r="DJ30" s="268"/>
      <c r="DK30" s="268"/>
      <c r="DL30" s="268"/>
      <c r="DM30" s="268"/>
      <c r="DN30" s="268"/>
      <c r="DO30" s="268"/>
      <c r="DP30" s="268"/>
      <c r="DQ30" s="268"/>
      <c r="DR30" s="268"/>
      <c r="DS30" s="268"/>
      <c r="DT30" s="268"/>
      <c r="DU30" s="268"/>
      <c r="DV30" s="268"/>
      <c r="DW30" s="268"/>
      <c r="DX30" s="268"/>
      <c r="DY30" s="268"/>
      <c r="DZ30" s="268"/>
      <c r="EA30" s="268"/>
      <c r="EB30" s="268"/>
      <c r="EC30" s="268"/>
      <c r="ED30" s="268"/>
      <c r="EE30" s="268"/>
      <c r="EF30" s="268"/>
      <c r="EG30" s="268"/>
      <c r="EH30" s="268"/>
    </row>
    <row r="31" spans="1:138" ht="15.95" outlineLevel="1">
      <c r="A31" s="474"/>
      <c r="B31" s="609"/>
      <c r="C31" s="294" t="s">
        <v>263</v>
      </c>
      <c r="D31" s="295" t="s">
        <v>245</v>
      </c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301"/>
      <c r="BY31" s="303">
        <f t="shared" si="11"/>
        <v>0</v>
      </c>
      <c r="BZ31" s="599"/>
      <c r="CA31" s="268"/>
      <c r="CB31" s="293" t="e">
        <f ca="1">SUM(INDEX(AC31:BX31, , 1):INDEX(AC31:BX31, ,MATCH(#REF!, $E$3:$BX$3,0) ))</f>
        <v>#REF!</v>
      </c>
      <c r="CC31" s="599"/>
      <c r="CD31" s="268"/>
      <c r="CE31" s="268"/>
      <c r="CF31" s="268"/>
      <c r="CG31" s="268"/>
      <c r="CH31" s="268"/>
      <c r="CI31" s="268"/>
      <c r="CJ31" s="268"/>
      <c r="CK31" s="268"/>
      <c r="CL31" s="268"/>
      <c r="CM31" s="268"/>
      <c r="CN31" s="268"/>
      <c r="CO31" s="268"/>
      <c r="CP31" s="268"/>
      <c r="CQ31" s="268"/>
      <c r="CR31" s="268"/>
      <c r="CS31" s="268"/>
      <c r="CT31" s="268"/>
      <c r="CU31" s="268"/>
      <c r="CV31" s="268"/>
      <c r="CW31" s="268"/>
      <c r="CX31" s="268"/>
      <c r="CY31" s="268"/>
      <c r="CZ31" s="268"/>
      <c r="DA31" s="268"/>
      <c r="DB31" s="268"/>
      <c r="DC31" s="268"/>
      <c r="DD31" s="268"/>
      <c r="DE31" s="268"/>
      <c r="DF31" s="268"/>
      <c r="DG31" s="268"/>
      <c r="DH31" s="268"/>
      <c r="DI31" s="268"/>
      <c r="DJ31" s="268"/>
      <c r="DK31" s="268"/>
      <c r="DL31" s="268"/>
      <c r="DM31" s="268"/>
      <c r="DN31" s="268"/>
      <c r="DO31" s="268"/>
      <c r="DP31" s="268"/>
      <c r="DQ31" s="268"/>
      <c r="DR31" s="268"/>
      <c r="DS31" s="268"/>
      <c r="DT31" s="268"/>
      <c r="DU31" s="268"/>
      <c r="DV31" s="268"/>
      <c r="DW31" s="268"/>
      <c r="DX31" s="268"/>
      <c r="DY31" s="268"/>
      <c r="DZ31" s="268"/>
      <c r="EA31" s="268"/>
      <c r="EB31" s="268"/>
      <c r="EC31" s="268"/>
      <c r="ED31" s="268"/>
      <c r="EE31" s="268"/>
      <c r="EF31" s="268"/>
      <c r="EG31" s="268"/>
      <c r="EH31" s="268"/>
    </row>
    <row r="32" spans="1:138" ht="15.95" outlineLevel="1">
      <c r="A32" s="474"/>
      <c r="B32" s="609"/>
      <c r="C32" s="294" t="s">
        <v>264</v>
      </c>
      <c r="D32" s="295" t="s">
        <v>245</v>
      </c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6"/>
      <c r="BN32" s="296"/>
      <c r="BO32" s="296"/>
      <c r="BP32" s="296"/>
      <c r="BQ32" s="296"/>
      <c r="BR32" s="296"/>
      <c r="BS32" s="296"/>
      <c r="BT32" s="296"/>
      <c r="BU32" s="296"/>
      <c r="BV32" s="296"/>
      <c r="BW32" s="296"/>
      <c r="BX32" s="301"/>
      <c r="BY32" s="303">
        <f t="shared" si="11"/>
        <v>0</v>
      </c>
      <c r="BZ32" s="599"/>
      <c r="CA32" s="268"/>
      <c r="CB32" s="293" t="e">
        <f ca="1">SUM(INDEX(AC32:BX32, , 1):INDEX(AC32:BX32, ,MATCH(#REF!, $E$3:$BX$3,0) ))</f>
        <v>#REF!</v>
      </c>
      <c r="CC32" s="599"/>
      <c r="CD32" s="268"/>
      <c r="CE32" s="268"/>
      <c r="CF32" s="268"/>
      <c r="CG32" s="268"/>
      <c r="CH32" s="268"/>
      <c r="CI32" s="268"/>
      <c r="CJ32" s="268"/>
      <c r="CK32" s="268"/>
      <c r="CL32" s="268"/>
      <c r="CM32" s="268"/>
      <c r="CN32" s="268"/>
      <c r="CO32" s="268"/>
      <c r="CP32" s="268"/>
      <c r="CQ32" s="268"/>
      <c r="CR32" s="268"/>
      <c r="CS32" s="268"/>
      <c r="CT32" s="268"/>
      <c r="CU32" s="268"/>
      <c r="CV32" s="268"/>
      <c r="CW32" s="268"/>
      <c r="CX32" s="268"/>
      <c r="CY32" s="268"/>
      <c r="CZ32" s="268"/>
      <c r="DA32" s="268"/>
      <c r="DB32" s="268"/>
      <c r="DC32" s="268"/>
      <c r="DD32" s="268"/>
      <c r="DE32" s="268"/>
      <c r="DF32" s="268"/>
      <c r="DG32" s="268"/>
      <c r="DH32" s="268"/>
      <c r="DI32" s="268"/>
      <c r="DJ32" s="268"/>
      <c r="DK32" s="268"/>
      <c r="DL32" s="268"/>
      <c r="DM32" s="268"/>
      <c r="DN32" s="268"/>
      <c r="DO32" s="268"/>
      <c r="DP32" s="268"/>
      <c r="DQ32" s="268"/>
      <c r="DR32" s="268"/>
      <c r="DS32" s="268"/>
      <c r="DT32" s="268"/>
      <c r="DU32" s="268"/>
      <c r="DV32" s="268"/>
      <c r="DW32" s="268"/>
      <c r="DX32" s="268"/>
      <c r="DY32" s="268"/>
      <c r="DZ32" s="268"/>
      <c r="EA32" s="268"/>
      <c r="EB32" s="268"/>
      <c r="EC32" s="268"/>
      <c r="ED32" s="268"/>
      <c r="EE32" s="268"/>
      <c r="EF32" s="268"/>
      <c r="EG32" s="268"/>
      <c r="EH32" s="268"/>
    </row>
    <row r="33" spans="1:138" ht="15.95" outlineLevel="1">
      <c r="A33" s="474"/>
      <c r="B33" s="609"/>
      <c r="C33" s="294" t="s">
        <v>265</v>
      </c>
      <c r="D33" s="295" t="s">
        <v>245</v>
      </c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>
        <f>-Businessplan_prodej!$F$37/11</f>
        <v>-53383.63636363636</v>
      </c>
      <c r="Y33" s="296">
        <f>-Businessplan_prodej!$F$37/11</f>
        <v>-53383.63636363636</v>
      </c>
      <c r="Z33" s="296">
        <f>-Businessplan_prodej!$F$37/11</f>
        <v>-53383.63636363636</v>
      </c>
      <c r="AA33" s="296">
        <f>-Businessplan_prodej!$F$37/11</f>
        <v>-53383.63636363636</v>
      </c>
      <c r="AB33" s="296">
        <f>-Businessplan_prodej!$F$37/11</f>
        <v>-53383.63636363636</v>
      </c>
      <c r="AC33" s="296">
        <f>-Businessplan_prodej!$F$37/11</f>
        <v>-53383.63636363636</v>
      </c>
      <c r="AD33" s="296">
        <f>-Businessplan_prodej!$F$37/11</f>
        <v>-53383.63636363636</v>
      </c>
      <c r="AE33" s="296">
        <f>-Businessplan_prodej!$F$37/11</f>
        <v>-53383.63636363636</v>
      </c>
      <c r="AF33" s="296">
        <f>-Businessplan_prodej!$F$37/11</f>
        <v>-53383.63636363636</v>
      </c>
      <c r="AG33" s="296">
        <f>-Businessplan_prodej!$F$37/11</f>
        <v>-53383.63636363636</v>
      </c>
      <c r="AH33" s="296">
        <f>-Businessplan_prodej!$F$37/11</f>
        <v>-53383.63636363636</v>
      </c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  <c r="BP33" s="296"/>
      <c r="BQ33" s="296"/>
      <c r="BR33" s="296"/>
      <c r="BS33" s="296"/>
      <c r="BT33" s="296"/>
      <c r="BU33" s="296"/>
      <c r="BV33" s="296"/>
      <c r="BW33" s="296"/>
      <c r="BX33" s="301"/>
      <c r="BY33" s="303">
        <f t="shared" si="11"/>
        <v>-587220</v>
      </c>
      <c r="BZ33" s="599"/>
      <c r="CA33" s="268"/>
      <c r="CB33" s="293" t="e">
        <f ca="1">SUM(INDEX(AC33:BX33, , 1):INDEX(AC33:BX33, ,MATCH(#REF!, $E$3:$BX$3,0) ))</f>
        <v>#REF!</v>
      </c>
      <c r="CC33" s="599"/>
      <c r="CD33" s="268"/>
      <c r="CE33" s="268"/>
      <c r="CF33" s="268"/>
      <c r="CG33" s="268"/>
      <c r="CH33" s="268"/>
      <c r="CI33" s="268"/>
      <c r="CJ33" s="268"/>
      <c r="CK33" s="268"/>
      <c r="CL33" s="268"/>
      <c r="CM33" s="268"/>
      <c r="CN33" s="268"/>
      <c r="CO33" s="268"/>
      <c r="CP33" s="268"/>
      <c r="CQ33" s="268"/>
      <c r="CR33" s="268"/>
      <c r="CS33" s="268"/>
      <c r="CT33" s="268"/>
      <c r="CU33" s="268"/>
      <c r="CV33" s="268"/>
      <c r="CW33" s="268"/>
      <c r="CX33" s="268"/>
      <c r="CY33" s="268"/>
      <c r="CZ33" s="268"/>
      <c r="DA33" s="268"/>
      <c r="DB33" s="268"/>
      <c r="DC33" s="268"/>
      <c r="DD33" s="268"/>
      <c r="DE33" s="268"/>
      <c r="DF33" s="268"/>
      <c r="DG33" s="268"/>
      <c r="DH33" s="268"/>
      <c r="DI33" s="268"/>
      <c r="DJ33" s="268"/>
      <c r="DK33" s="268"/>
      <c r="DL33" s="268"/>
      <c r="DM33" s="268"/>
      <c r="DN33" s="268"/>
      <c r="DO33" s="268"/>
      <c r="DP33" s="268"/>
      <c r="DQ33" s="268"/>
      <c r="DR33" s="268"/>
      <c r="DS33" s="268"/>
      <c r="DT33" s="268"/>
      <c r="DU33" s="268"/>
      <c r="DV33" s="268"/>
      <c r="DW33" s="268"/>
      <c r="DX33" s="268"/>
      <c r="DY33" s="268"/>
      <c r="DZ33" s="268"/>
      <c r="EA33" s="268"/>
      <c r="EB33" s="268"/>
      <c r="EC33" s="268"/>
      <c r="ED33" s="268"/>
      <c r="EE33" s="268"/>
      <c r="EF33" s="268"/>
      <c r="EG33" s="268"/>
      <c r="EH33" s="268"/>
    </row>
    <row r="34" spans="1:138" ht="15.95" outlineLevel="1">
      <c r="A34" s="474"/>
      <c r="B34" s="609"/>
      <c r="C34" s="304" t="s">
        <v>266</v>
      </c>
      <c r="D34" s="295" t="s">
        <v>245</v>
      </c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6"/>
      <c r="BS34" s="296"/>
      <c r="BT34" s="296"/>
      <c r="BU34" s="296"/>
      <c r="BV34" s="296"/>
      <c r="BW34" s="296"/>
      <c r="BX34" s="301"/>
      <c r="BY34" s="303">
        <f t="shared" si="11"/>
        <v>0</v>
      </c>
      <c r="BZ34" s="599"/>
      <c r="CA34" s="268"/>
      <c r="CB34" s="293" t="e">
        <f ca="1">SUM(INDEX(AC34:BX34, , 1):INDEX(AC34:BX34, ,MATCH(#REF!, $E$3:$BX$3,0) ))</f>
        <v>#REF!</v>
      </c>
      <c r="CC34" s="599"/>
      <c r="CD34" s="268"/>
      <c r="CE34" s="268"/>
      <c r="CF34" s="268"/>
      <c r="CG34" s="268"/>
      <c r="CH34" s="268"/>
      <c r="CI34" s="268"/>
      <c r="CJ34" s="268"/>
      <c r="CK34" s="268"/>
      <c r="CL34" s="268"/>
      <c r="CM34" s="268"/>
      <c r="CN34" s="268"/>
      <c r="CO34" s="268"/>
      <c r="CP34" s="268"/>
      <c r="CQ34" s="268"/>
      <c r="CR34" s="268"/>
      <c r="CS34" s="268"/>
      <c r="CT34" s="268"/>
      <c r="CU34" s="268"/>
      <c r="CV34" s="268"/>
      <c r="CW34" s="268"/>
      <c r="CX34" s="268"/>
      <c r="CY34" s="268"/>
      <c r="CZ34" s="268"/>
      <c r="DA34" s="268"/>
      <c r="DB34" s="268"/>
      <c r="DC34" s="268"/>
      <c r="DD34" s="268"/>
      <c r="DE34" s="268"/>
      <c r="DF34" s="268"/>
      <c r="DG34" s="268"/>
      <c r="DH34" s="268"/>
      <c r="DI34" s="268"/>
      <c r="DJ34" s="268"/>
      <c r="DK34" s="268"/>
      <c r="DL34" s="268"/>
      <c r="DM34" s="268"/>
      <c r="DN34" s="268"/>
      <c r="DO34" s="268"/>
      <c r="DP34" s="268"/>
      <c r="DQ34" s="268"/>
      <c r="DR34" s="268"/>
      <c r="DS34" s="268"/>
      <c r="DT34" s="268"/>
      <c r="DU34" s="268"/>
      <c r="DV34" s="268"/>
      <c r="DW34" s="268"/>
      <c r="DX34" s="268"/>
      <c r="DY34" s="268"/>
      <c r="DZ34" s="268"/>
      <c r="EA34" s="268"/>
      <c r="EB34" s="268"/>
      <c r="EC34" s="268"/>
      <c r="ED34" s="268"/>
      <c r="EE34" s="268"/>
      <c r="EF34" s="268"/>
      <c r="EG34" s="268"/>
      <c r="EH34" s="268"/>
    </row>
    <row r="35" spans="1:138" ht="15.95" outlineLevel="1">
      <c r="A35" s="474"/>
      <c r="B35" s="609"/>
      <c r="C35" s="294" t="s">
        <v>267</v>
      </c>
      <c r="D35" s="298" t="s">
        <v>245</v>
      </c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>
        <f>-Businessplan_prodej!$F$39/10</f>
        <v>-787657.76</v>
      </c>
      <c r="Z35" s="296">
        <f>-Businessplan_prodej!$F$39/10</f>
        <v>-787657.76</v>
      </c>
      <c r="AA35" s="296">
        <f>-Businessplan_prodej!$F$39/10</f>
        <v>-787657.76</v>
      </c>
      <c r="AB35" s="296">
        <f>-Businessplan_prodej!$F$39/10</f>
        <v>-787657.76</v>
      </c>
      <c r="AC35" s="296">
        <f>-Businessplan_prodej!$F$39/10</f>
        <v>-787657.76</v>
      </c>
      <c r="AD35" s="296">
        <f>-Businessplan_prodej!$F$39/10</f>
        <v>-787657.76</v>
      </c>
      <c r="AE35" s="296">
        <f>-Businessplan_prodej!$F$39/10</f>
        <v>-787657.76</v>
      </c>
      <c r="AF35" s="296">
        <f>-Businessplan_prodej!$F$39/10</f>
        <v>-787657.76</v>
      </c>
      <c r="AG35" s="296">
        <f>-Businessplan_prodej!$F$39/10</f>
        <v>-787657.76</v>
      </c>
      <c r="AH35" s="296">
        <f>-Businessplan_prodej!$F$39/10</f>
        <v>-787657.76</v>
      </c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6"/>
      <c r="BN35" s="296"/>
      <c r="BO35" s="296"/>
      <c r="BP35" s="296"/>
      <c r="BQ35" s="296"/>
      <c r="BR35" s="296"/>
      <c r="BS35" s="296"/>
      <c r="BT35" s="296"/>
      <c r="BU35" s="296"/>
      <c r="BV35" s="296"/>
      <c r="BW35" s="296"/>
      <c r="BX35" s="301"/>
      <c r="BY35" s="305">
        <f t="shared" si="11"/>
        <v>-7876577.5999999987</v>
      </c>
      <c r="BZ35" s="599"/>
      <c r="CA35" s="268"/>
      <c r="CB35" s="293" t="e">
        <f ca="1">SUM(INDEX(AC35:BX35, , 1):INDEX(AC35:BX35, ,MATCH(#REF!, $E$3:$BX$3,0) ))</f>
        <v>#REF!</v>
      </c>
      <c r="CC35" s="599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68"/>
      <c r="DH35" s="268"/>
      <c r="DI35" s="268"/>
      <c r="DJ35" s="268"/>
      <c r="DK35" s="268"/>
      <c r="DL35" s="268"/>
      <c r="DM35" s="268"/>
      <c r="DN35" s="268"/>
      <c r="DO35" s="268"/>
      <c r="DP35" s="268"/>
      <c r="DQ35" s="268"/>
      <c r="DR35" s="268"/>
      <c r="DS35" s="268"/>
      <c r="DT35" s="268"/>
      <c r="DU35" s="268"/>
      <c r="DV35" s="268"/>
      <c r="DW35" s="268"/>
      <c r="DX35" s="268"/>
      <c r="DY35" s="268"/>
      <c r="DZ35" s="268"/>
      <c r="EA35" s="268"/>
      <c r="EB35" s="268"/>
      <c r="EC35" s="268"/>
      <c r="ED35" s="268"/>
      <c r="EE35" s="268"/>
      <c r="EF35" s="268"/>
      <c r="EG35" s="268"/>
      <c r="EH35" s="268"/>
    </row>
    <row r="36" spans="1:138" ht="15.95" collapsed="1">
      <c r="A36" s="474"/>
      <c r="B36" s="609"/>
      <c r="C36" s="289" t="s">
        <v>268</v>
      </c>
      <c r="D36" s="290"/>
      <c r="E36" s="291">
        <f t="shared" ref="E36:BX36" si="12">SUM(E37:E38)</f>
        <v>0</v>
      </c>
      <c r="F36" s="291">
        <f t="shared" si="12"/>
        <v>0</v>
      </c>
      <c r="G36" s="291">
        <f t="shared" si="12"/>
        <v>0</v>
      </c>
      <c r="H36" s="291">
        <f t="shared" si="12"/>
        <v>0</v>
      </c>
      <c r="I36" s="291">
        <f t="shared" si="12"/>
        <v>0</v>
      </c>
      <c r="J36" s="291">
        <f t="shared" si="12"/>
        <v>0</v>
      </c>
      <c r="K36" s="291">
        <f t="shared" si="12"/>
        <v>0</v>
      </c>
      <c r="L36" s="291">
        <f t="shared" si="12"/>
        <v>0</v>
      </c>
      <c r="M36" s="291">
        <f t="shared" si="12"/>
        <v>0</v>
      </c>
      <c r="N36" s="291">
        <f t="shared" si="12"/>
        <v>0</v>
      </c>
      <c r="O36" s="291">
        <f t="shared" si="12"/>
        <v>0</v>
      </c>
      <c r="P36" s="291">
        <f t="shared" si="12"/>
        <v>0</v>
      </c>
      <c r="Q36" s="291">
        <f t="shared" si="12"/>
        <v>0</v>
      </c>
      <c r="R36" s="291">
        <f t="shared" si="12"/>
        <v>0</v>
      </c>
      <c r="S36" s="291">
        <f t="shared" si="12"/>
        <v>0</v>
      </c>
      <c r="T36" s="291">
        <f t="shared" si="12"/>
        <v>0</v>
      </c>
      <c r="U36" s="291">
        <f t="shared" si="12"/>
        <v>0</v>
      </c>
      <c r="V36" s="291">
        <f t="shared" si="12"/>
        <v>0</v>
      </c>
      <c r="W36" s="291">
        <f t="shared" si="12"/>
        <v>0</v>
      </c>
      <c r="X36" s="291">
        <f t="shared" si="12"/>
        <v>0</v>
      </c>
      <c r="Y36" s="291">
        <f t="shared" si="12"/>
        <v>0</v>
      </c>
      <c r="Z36" s="291">
        <f t="shared" si="12"/>
        <v>0</v>
      </c>
      <c r="AA36" s="291">
        <f t="shared" si="12"/>
        <v>0</v>
      </c>
      <c r="AB36" s="291">
        <f t="shared" si="12"/>
        <v>0</v>
      </c>
      <c r="AC36" s="291">
        <f t="shared" si="12"/>
        <v>0</v>
      </c>
      <c r="AD36" s="291">
        <f t="shared" si="12"/>
        <v>0</v>
      </c>
      <c r="AE36" s="291">
        <f t="shared" si="12"/>
        <v>0</v>
      </c>
      <c r="AF36" s="291">
        <f t="shared" si="12"/>
        <v>0</v>
      </c>
      <c r="AG36" s="291">
        <f t="shared" si="12"/>
        <v>0</v>
      </c>
      <c r="AH36" s="291">
        <f t="shared" si="12"/>
        <v>0</v>
      </c>
      <c r="AI36" s="291">
        <f t="shared" si="12"/>
        <v>0</v>
      </c>
      <c r="AJ36" s="291">
        <f t="shared" si="12"/>
        <v>0</v>
      </c>
      <c r="AK36" s="291">
        <f t="shared" si="12"/>
        <v>0</v>
      </c>
      <c r="AL36" s="291">
        <f t="shared" si="12"/>
        <v>0</v>
      </c>
      <c r="AM36" s="291">
        <f t="shared" si="12"/>
        <v>0</v>
      </c>
      <c r="AN36" s="291">
        <f t="shared" si="12"/>
        <v>0</v>
      </c>
      <c r="AO36" s="291">
        <f t="shared" si="12"/>
        <v>0</v>
      </c>
      <c r="AP36" s="291">
        <f t="shared" si="12"/>
        <v>0</v>
      </c>
      <c r="AQ36" s="291">
        <f t="shared" si="12"/>
        <v>0</v>
      </c>
      <c r="AR36" s="291">
        <f t="shared" si="12"/>
        <v>0</v>
      </c>
      <c r="AS36" s="291">
        <f t="shared" si="12"/>
        <v>0</v>
      </c>
      <c r="AT36" s="291">
        <f t="shared" si="12"/>
        <v>0</v>
      </c>
      <c r="AU36" s="291">
        <f t="shared" si="12"/>
        <v>0</v>
      </c>
      <c r="AV36" s="291">
        <f t="shared" si="12"/>
        <v>0</v>
      </c>
      <c r="AW36" s="291">
        <f t="shared" si="12"/>
        <v>0</v>
      </c>
      <c r="AX36" s="291">
        <f t="shared" si="12"/>
        <v>0</v>
      </c>
      <c r="AY36" s="291">
        <f t="shared" si="12"/>
        <v>0</v>
      </c>
      <c r="AZ36" s="291">
        <f t="shared" si="12"/>
        <v>0</v>
      </c>
      <c r="BA36" s="291">
        <f t="shared" si="12"/>
        <v>0</v>
      </c>
      <c r="BB36" s="291">
        <f t="shared" si="12"/>
        <v>0</v>
      </c>
      <c r="BC36" s="291">
        <f t="shared" si="12"/>
        <v>0</v>
      </c>
      <c r="BD36" s="291">
        <f t="shared" si="12"/>
        <v>0</v>
      </c>
      <c r="BE36" s="291">
        <f t="shared" si="12"/>
        <v>0</v>
      </c>
      <c r="BF36" s="291">
        <f t="shared" si="12"/>
        <v>0</v>
      </c>
      <c r="BG36" s="291">
        <f t="shared" si="12"/>
        <v>0</v>
      </c>
      <c r="BH36" s="291">
        <f t="shared" si="12"/>
        <v>0</v>
      </c>
      <c r="BI36" s="291">
        <f t="shared" si="12"/>
        <v>0</v>
      </c>
      <c r="BJ36" s="291">
        <f t="shared" si="12"/>
        <v>0</v>
      </c>
      <c r="BK36" s="291">
        <f t="shared" si="12"/>
        <v>0</v>
      </c>
      <c r="BL36" s="291">
        <f t="shared" si="12"/>
        <v>0</v>
      </c>
      <c r="BM36" s="291">
        <f t="shared" si="12"/>
        <v>0</v>
      </c>
      <c r="BN36" s="291">
        <f t="shared" si="12"/>
        <v>0</v>
      </c>
      <c r="BO36" s="291">
        <f t="shared" si="12"/>
        <v>0</v>
      </c>
      <c r="BP36" s="291">
        <f t="shared" si="12"/>
        <v>0</v>
      </c>
      <c r="BQ36" s="291">
        <f t="shared" si="12"/>
        <v>0</v>
      </c>
      <c r="BR36" s="291">
        <f t="shared" si="12"/>
        <v>0</v>
      </c>
      <c r="BS36" s="291">
        <f t="shared" si="12"/>
        <v>0</v>
      </c>
      <c r="BT36" s="291">
        <f t="shared" si="12"/>
        <v>0</v>
      </c>
      <c r="BU36" s="291">
        <f t="shared" si="12"/>
        <v>0</v>
      </c>
      <c r="BV36" s="291">
        <f t="shared" si="12"/>
        <v>0</v>
      </c>
      <c r="BW36" s="291">
        <f t="shared" si="12"/>
        <v>0</v>
      </c>
      <c r="BX36" s="291">
        <f t="shared" si="12"/>
        <v>0</v>
      </c>
      <c r="BY36" s="293">
        <f>SUM(BY37:BY38)</f>
        <v>0</v>
      </c>
      <c r="BZ36" s="599"/>
      <c r="CA36" s="268"/>
      <c r="CB36" s="293" t="e">
        <f t="array" aca="1" ref="CB36" ca="1">SUM(INDEX(E36:BX36, , 1):INDEX(E36:BX36, ,MATCH($CB$4, $E$3:$BX$3,0) ))</f>
        <v>#N/A</v>
      </c>
      <c r="CC36" s="599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68"/>
      <c r="DH36" s="268"/>
      <c r="DI36" s="268"/>
      <c r="DJ36" s="268"/>
      <c r="DK36" s="268"/>
      <c r="DL36" s="268"/>
      <c r="DM36" s="268"/>
      <c r="DN36" s="268"/>
      <c r="DO36" s="268"/>
      <c r="DP36" s="268"/>
      <c r="DQ36" s="268"/>
      <c r="DR36" s="268"/>
      <c r="DS36" s="268"/>
      <c r="DT36" s="268"/>
      <c r="DU36" s="268"/>
      <c r="DV36" s="268"/>
      <c r="DW36" s="268"/>
      <c r="DX36" s="268"/>
      <c r="DY36" s="268"/>
      <c r="DZ36" s="268"/>
      <c r="EA36" s="268"/>
      <c r="EB36" s="268"/>
      <c r="EC36" s="268"/>
      <c r="ED36" s="268"/>
      <c r="EE36" s="268"/>
      <c r="EF36" s="268"/>
      <c r="EG36" s="268"/>
      <c r="EH36" s="268"/>
    </row>
    <row r="37" spans="1:138" ht="15.95" hidden="1" outlineLevel="1">
      <c r="A37" s="474"/>
      <c r="B37" s="609"/>
      <c r="C37" s="294" t="s">
        <v>269</v>
      </c>
      <c r="D37" s="295" t="s">
        <v>245</v>
      </c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30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  <c r="BQ37" s="296"/>
      <c r="BR37" s="296"/>
      <c r="BS37" s="296"/>
      <c r="BT37" s="296"/>
      <c r="BU37" s="296"/>
      <c r="BV37" s="296"/>
      <c r="BW37" s="296"/>
      <c r="BX37" s="301"/>
      <c r="BY37" s="302">
        <f t="shared" ref="BY37:BY38" si="13">SUM(E37:BX37)</f>
        <v>0</v>
      </c>
      <c r="BZ37" s="599"/>
      <c r="CA37" s="268"/>
      <c r="CB37" s="293" t="e">
        <f ca="1">SUM(INDEX(AC37:BX37, , 1):INDEX(AC37:BX37, ,MATCH(#REF!, $E$3:$BX$3,0) ))</f>
        <v>#REF!</v>
      </c>
      <c r="CC37" s="599"/>
      <c r="CD37" s="268"/>
      <c r="CE37" s="268"/>
      <c r="CF37" s="268"/>
      <c r="CG37" s="268"/>
      <c r="CH37" s="268"/>
      <c r="CI37" s="268"/>
      <c r="CJ37" s="268"/>
      <c r="CK37" s="268"/>
      <c r="CL37" s="268"/>
      <c r="CM37" s="268"/>
      <c r="CN37" s="268"/>
      <c r="CO37" s="268"/>
      <c r="CP37" s="268"/>
      <c r="CQ37" s="268"/>
      <c r="CR37" s="268"/>
      <c r="CS37" s="268"/>
      <c r="CT37" s="268"/>
      <c r="CU37" s="268"/>
      <c r="CV37" s="268"/>
      <c r="CW37" s="268"/>
      <c r="CX37" s="268"/>
      <c r="CY37" s="268"/>
      <c r="CZ37" s="268"/>
      <c r="DA37" s="268"/>
      <c r="DB37" s="268"/>
      <c r="DC37" s="268"/>
      <c r="DD37" s="268"/>
      <c r="DE37" s="268"/>
      <c r="DF37" s="268"/>
      <c r="DG37" s="268"/>
      <c r="DH37" s="268"/>
      <c r="DI37" s="268"/>
      <c r="DJ37" s="268"/>
      <c r="DK37" s="268"/>
      <c r="DL37" s="268"/>
      <c r="DM37" s="268"/>
      <c r="DN37" s="268"/>
      <c r="DO37" s="268"/>
      <c r="DP37" s="268"/>
      <c r="DQ37" s="268"/>
      <c r="DR37" s="268"/>
      <c r="DS37" s="268"/>
      <c r="DT37" s="268"/>
      <c r="DU37" s="268"/>
      <c r="DV37" s="268"/>
      <c r="DW37" s="268"/>
      <c r="DX37" s="268"/>
      <c r="DY37" s="268"/>
      <c r="DZ37" s="268"/>
      <c r="EA37" s="268"/>
      <c r="EB37" s="268"/>
      <c r="EC37" s="268"/>
      <c r="ED37" s="268"/>
      <c r="EE37" s="268"/>
      <c r="EF37" s="268"/>
      <c r="EG37" s="268"/>
      <c r="EH37" s="268"/>
    </row>
    <row r="38" spans="1:138" ht="15.95" hidden="1" outlineLevel="1">
      <c r="A38" s="474"/>
      <c r="B38" s="609"/>
      <c r="C38" s="294" t="s">
        <v>270</v>
      </c>
      <c r="D38" s="298" t="s">
        <v>245</v>
      </c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30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6"/>
      <c r="BN38" s="296"/>
      <c r="BO38" s="296"/>
      <c r="BP38" s="296"/>
      <c r="BQ38" s="296"/>
      <c r="BR38" s="296"/>
      <c r="BS38" s="296"/>
      <c r="BT38" s="296"/>
      <c r="BU38" s="296"/>
      <c r="BV38" s="296"/>
      <c r="BW38" s="296"/>
      <c r="BX38" s="301"/>
      <c r="BY38" s="305">
        <f t="shared" si="13"/>
        <v>0</v>
      </c>
      <c r="BZ38" s="599"/>
      <c r="CA38" s="268"/>
      <c r="CB38" s="293" t="e">
        <f ca="1">SUM(INDEX(AC38:BX38, , 1):INDEX(AC38:BX38, ,MATCH(#REF!, $E$3:$BX$3,0) ))</f>
        <v>#REF!</v>
      </c>
      <c r="CC38" s="599"/>
      <c r="CD38" s="268"/>
      <c r="CE38" s="268"/>
      <c r="CF38" s="268"/>
      <c r="CG38" s="268"/>
      <c r="CH38" s="268"/>
      <c r="CI38" s="268"/>
      <c r="CJ38" s="268"/>
      <c r="CK38" s="268"/>
      <c r="CL38" s="268"/>
      <c r="CM38" s="268"/>
      <c r="CN38" s="268"/>
      <c r="CO38" s="268"/>
      <c r="CP38" s="268"/>
      <c r="CQ38" s="268"/>
      <c r="CR38" s="268"/>
      <c r="CS38" s="268"/>
      <c r="CT38" s="268"/>
      <c r="CU38" s="268"/>
      <c r="CV38" s="268"/>
      <c r="CW38" s="268"/>
      <c r="CX38" s="268"/>
      <c r="CY38" s="268"/>
      <c r="CZ38" s="268"/>
      <c r="DA38" s="268"/>
      <c r="DB38" s="268"/>
      <c r="DC38" s="268"/>
      <c r="DD38" s="268"/>
      <c r="DE38" s="268"/>
      <c r="DF38" s="268"/>
      <c r="DG38" s="268"/>
      <c r="DH38" s="268"/>
      <c r="DI38" s="268"/>
      <c r="DJ38" s="268"/>
      <c r="DK38" s="268"/>
      <c r="DL38" s="268"/>
      <c r="DM38" s="268"/>
      <c r="DN38" s="268"/>
      <c r="DO38" s="268"/>
      <c r="DP38" s="268"/>
      <c r="DQ38" s="268"/>
      <c r="DR38" s="268"/>
      <c r="DS38" s="268"/>
      <c r="DT38" s="268"/>
      <c r="DU38" s="268"/>
      <c r="DV38" s="268"/>
      <c r="DW38" s="268"/>
      <c r="DX38" s="268"/>
      <c r="DY38" s="268"/>
      <c r="DZ38" s="268"/>
      <c r="EA38" s="268"/>
      <c r="EB38" s="268"/>
      <c r="EC38" s="268"/>
      <c r="ED38" s="268"/>
      <c r="EE38" s="268"/>
      <c r="EF38" s="268"/>
      <c r="EG38" s="268"/>
      <c r="EH38" s="268"/>
    </row>
    <row r="39" spans="1:138" ht="15.95">
      <c r="A39" s="474"/>
      <c r="B39" s="609"/>
      <c r="C39" s="289" t="s">
        <v>271</v>
      </c>
      <c r="D39" s="290"/>
      <c r="E39" s="291">
        <f t="shared" ref="E39:AJ39" si="14">SUM(E40:E47)</f>
        <v>0</v>
      </c>
      <c r="F39" s="291">
        <f t="shared" si="14"/>
        <v>0</v>
      </c>
      <c r="G39" s="291">
        <f t="shared" si="14"/>
        <v>0</v>
      </c>
      <c r="H39" s="291">
        <f t="shared" si="14"/>
        <v>0</v>
      </c>
      <c r="I39" s="291">
        <f t="shared" si="14"/>
        <v>0</v>
      </c>
      <c r="J39" s="291">
        <f t="shared" si="14"/>
        <v>0</v>
      </c>
      <c r="K39" s="291">
        <f t="shared" si="14"/>
        <v>0</v>
      </c>
      <c r="L39" s="291">
        <f t="shared" si="14"/>
        <v>0</v>
      </c>
      <c r="M39" s="291">
        <f t="shared" si="14"/>
        <v>0</v>
      </c>
      <c r="N39" s="291">
        <f t="shared" si="14"/>
        <v>0</v>
      </c>
      <c r="O39" s="291">
        <f t="shared" si="14"/>
        <v>0</v>
      </c>
      <c r="P39" s="291">
        <f t="shared" si="14"/>
        <v>0</v>
      </c>
      <c r="Q39" s="291">
        <f t="shared" si="14"/>
        <v>0</v>
      </c>
      <c r="R39" s="291">
        <f t="shared" si="14"/>
        <v>0</v>
      </c>
      <c r="S39" s="291">
        <f t="shared" si="14"/>
        <v>0</v>
      </c>
      <c r="T39" s="291">
        <f t="shared" si="14"/>
        <v>0</v>
      </c>
      <c r="U39" s="291">
        <f t="shared" si="14"/>
        <v>0</v>
      </c>
      <c r="V39" s="291">
        <f t="shared" si="14"/>
        <v>0</v>
      </c>
      <c r="W39" s="291">
        <f t="shared" si="14"/>
        <v>-600542.82412307686</v>
      </c>
      <c r="X39" s="291">
        <f t="shared" si="14"/>
        <v>-1732406.6072685313</v>
      </c>
      <c r="Y39" s="291">
        <f t="shared" si="14"/>
        <v>-444253.7846685315</v>
      </c>
      <c r="Z39" s="291">
        <f t="shared" si="14"/>
        <v>-444253.7846685315</v>
      </c>
      <c r="AA39" s="291">
        <f t="shared" si="14"/>
        <v>-444253.7846685315</v>
      </c>
      <c r="AB39" s="291">
        <f t="shared" si="14"/>
        <v>-444253.7846685315</v>
      </c>
      <c r="AC39" s="291">
        <f t="shared" si="14"/>
        <v>-444253.7846685315</v>
      </c>
      <c r="AD39" s="291">
        <f t="shared" si="14"/>
        <v>-444253.7846685315</v>
      </c>
      <c r="AE39" s="291">
        <f t="shared" si="14"/>
        <v>-444253.7846685315</v>
      </c>
      <c r="AF39" s="291">
        <f t="shared" si="14"/>
        <v>-444253.7846685315</v>
      </c>
      <c r="AG39" s="291">
        <f t="shared" si="14"/>
        <v>-444253.7846685315</v>
      </c>
      <c r="AH39" s="291">
        <f t="shared" si="14"/>
        <v>-550587.58226853155</v>
      </c>
      <c r="AI39" s="291">
        <f t="shared" si="14"/>
        <v>-1263614.2539230769</v>
      </c>
      <c r="AJ39" s="291">
        <f t="shared" si="14"/>
        <v>0</v>
      </c>
      <c r="AK39" s="291">
        <f t="shared" ref="AK39:BP39" si="15">SUM(AK40:AK47)</f>
        <v>0</v>
      </c>
      <c r="AL39" s="291">
        <f t="shared" si="15"/>
        <v>0</v>
      </c>
      <c r="AM39" s="291">
        <f t="shared" si="15"/>
        <v>0</v>
      </c>
      <c r="AN39" s="291">
        <f t="shared" si="15"/>
        <v>0</v>
      </c>
      <c r="AO39" s="291">
        <f t="shared" si="15"/>
        <v>0</v>
      </c>
      <c r="AP39" s="291">
        <f t="shared" si="15"/>
        <v>0</v>
      </c>
      <c r="AQ39" s="291">
        <f t="shared" si="15"/>
        <v>0</v>
      </c>
      <c r="AR39" s="291">
        <f t="shared" si="15"/>
        <v>0</v>
      </c>
      <c r="AS39" s="291">
        <f t="shared" si="15"/>
        <v>0</v>
      </c>
      <c r="AT39" s="291">
        <f t="shared" si="15"/>
        <v>0</v>
      </c>
      <c r="AU39" s="291">
        <f t="shared" si="15"/>
        <v>0</v>
      </c>
      <c r="AV39" s="291">
        <f t="shared" si="15"/>
        <v>0</v>
      </c>
      <c r="AW39" s="291">
        <f t="shared" si="15"/>
        <v>0</v>
      </c>
      <c r="AX39" s="291">
        <f t="shared" si="15"/>
        <v>0</v>
      </c>
      <c r="AY39" s="291">
        <f t="shared" si="15"/>
        <v>0</v>
      </c>
      <c r="AZ39" s="291">
        <f t="shared" si="15"/>
        <v>0</v>
      </c>
      <c r="BA39" s="291">
        <f t="shared" si="15"/>
        <v>0</v>
      </c>
      <c r="BB39" s="291">
        <f t="shared" si="15"/>
        <v>0</v>
      </c>
      <c r="BC39" s="291">
        <f t="shared" si="15"/>
        <v>0</v>
      </c>
      <c r="BD39" s="291">
        <f t="shared" si="15"/>
        <v>0</v>
      </c>
      <c r="BE39" s="291">
        <f t="shared" si="15"/>
        <v>0</v>
      </c>
      <c r="BF39" s="291">
        <f t="shared" si="15"/>
        <v>0</v>
      </c>
      <c r="BG39" s="291">
        <f t="shared" si="15"/>
        <v>0</v>
      </c>
      <c r="BH39" s="291">
        <f t="shared" si="15"/>
        <v>0</v>
      </c>
      <c r="BI39" s="291">
        <f t="shared" si="15"/>
        <v>0</v>
      </c>
      <c r="BJ39" s="291">
        <f t="shared" si="15"/>
        <v>0</v>
      </c>
      <c r="BK39" s="291">
        <f t="shared" si="15"/>
        <v>0</v>
      </c>
      <c r="BL39" s="291">
        <f t="shared" si="15"/>
        <v>0</v>
      </c>
      <c r="BM39" s="291">
        <f t="shared" si="15"/>
        <v>0</v>
      </c>
      <c r="BN39" s="291">
        <f t="shared" si="15"/>
        <v>0</v>
      </c>
      <c r="BO39" s="291">
        <f t="shared" si="15"/>
        <v>0</v>
      </c>
      <c r="BP39" s="291">
        <f t="shared" si="15"/>
        <v>0</v>
      </c>
      <c r="BQ39" s="291">
        <f t="shared" ref="BQ39:BY39" si="16">SUM(BQ40:BQ47)</f>
        <v>0</v>
      </c>
      <c r="BR39" s="291">
        <f t="shared" si="16"/>
        <v>0</v>
      </c>
      <c r="BS39" s="291">
        <f t="shared" si="16"/>
        <v>0</v>
      </c>
      <c r="BT39" s="291">
        <f t="shared" si="16"/>
        <v>0</v>
      </c>
      <c r="BU39" s="291">
        <f t="shared" si="16"/>
        <v>0</v>
      </c>
      <c r="BV39" s="291">
        <f t="shared" si="16"/>
        <v>0</v>
      </c>
      <c r="BW39" s="291">
        <f t="shared" si="16"/>
        <v>0</v>
      </c>
      <c r="BX39" s="291">
        <f t="shared" si="16"/>
        <v>0</v>
      </c>
      <c r="BY39" s="293">
        <f t="shared" si="16"/>
        <v>-8145435.3295999998</v>
      </c>
      <c r="BZ39" s="599"/>
      <c r="CA39" s="268"/>
      <c r="CB39" s="293" t="e">
        <f t="array" aca="1" ref="CB39" ca="1">SUM(INDEX(E39:BX39, , 1):INDEX(E39:BX39, ,MATCH($CB$4, $E$3:$BX$3,0) ))</f>
        <v>#N/A</v>
      </c>
      <c r="CC39" s="599"/>
      <c r="CD39" s="268"/>
      <c r="CE39" s="268"/>
      <c r="CF39" s="268"/>
      <c r="CG39" s="268"/>
      <c r="CH39" s="268"/>
      <c r="CI39" s="268"/>
      <c r="CJ39" s="268"/>
      <c r="CK39" s="268"/>
      <c r="CL39" s="268"/>
      <c r="CM39" s="268"/>
      <c r="CN39" s="268"/>
      <c r="CO39" s="268"/>
      <c r="CP39" s="268"/>
      <c r="CQ39" s="268"/>
      <c r="CR39" s="268"/>
      <c r="CS39" s="268"/>
      <c r="CT39" s="268"/>
      <c r="CU39" s="268"/>
      <c r="CV39" s="268"/>
      <c r="CW39" s="268"/>
      <c r="CX39" s="268"/>
      <c r="CY39" s="268"/>
      <c r="CZ39" s="268"/>
      <c r="DA39" s="268"/>
      <c r="DB39" s="268"/>
      <c r="DC39" s="268"/>
      <c r="DD39" s="268"/>
      <c r="DE39" s="268"/>
      <c r="DF39" s="268"/>
      <c r="DG39" s="268"/>
      <c r="DH39" s="268"/>
      <c r="DI39" s="268"/>
      <c r="DJ39" s="268"/>
      <c r="DK39" s="268"/>
      <c r="DL39" s="268"/>
      <c r="DM39" s="268"/>
      <c r="DN39" s="268"/>
      <c r="DO39" s="268"/>
      <c r="DP39" s="268"/>
      <c r="DQ39" s="268"/>
      <c r="DR39" s="268"/>
      <c r="DS39" s="268"/>
      <c r="DT39" s="268"/>
      <c r="DU39" s="268"/>
      <c r="DV39" s="268"/>
      <c r="DW39" s="268"/>
      <c r="DX39" s="268"/>
      <c r="DY39" s="268"/>
      <c r="DZ39" s="268"/>
      <c r="EA39" s="268"/>
      <c r="EB39" s="268"/>
      <c r="EC39" s="268"/>
      <c r="ED39" s="268"/>
      <c r="EE39" s="268"/>
      <c r="EF39" s="268"/>
      <c r="EG39" s="268"/>
      <c r="EH39" s="268"/>
    </row>
    <row r="40" spans="1:138" ht="15.95" outlineLevel="1">
      <c r="A40" s="474"/>
      <c r="B40" s="609"/>
      <c r="C40" s="304" t="s">
        <v>272</v>
      </c>
      <c r="D40" s="295" t="s">
        <v>245</v>
      </c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6"/>
      <c r="R40" s="296"/>
      <c r="S40" s="296"/>
      <c r="T40" s="296"/>
      <c r="U40" s="296"/>
      <c r="V40" s="296"/>
      <c r="W40" s="296">
        <f>-Businessplan_prodej!$F$54/12</f>
        <v>-181080</v>
      </c>
      <c r="X40" s="296">
        <f>-Businessplan_prodej!$F$54/12</f>
        <v>-181080</v>
      </c>
      <c r="Y40" s="296">
        <f>-Businessplan_prodej!$F$54/12</f>
        <v>-181080</v>
      </c>
      <c r="Z40" s="296">
        <f>-Businessplan_prodej!$F$54/12</f>
        <v>-181080</v>
      </c>
      <c r="AA40" s="296">
        <f>-Businessplan_prodej!$F$54/12</f>
        <v>-181080</v>
      </c>
      <c r="AB40" s="296">
        <f>-Businessplan_prodej!$F$54/12</f>
        <v>-181080</v>
      </c>
      <c r="AC40" s="296">
        <f>-Businessplan_prodej!$F$54/12</f>
        <v>-181080</v>
      </c>
      <c r="AD40" s="296">
        <f>-Businessplan_prodej!$F$54/12</f>
        <v>-181080</v>
      </c>
      <c r="AE40" s="296">
        <f>-Businessplan_prodej!$F$54/12</f>
        <v>-181080</v>
      </c>
      <c r="AF40" s="296">
        <f>-Businessplan_prodej!$F$54/12</f>
        <v>-181080</v>
      </c>
      <c r="AG40" s="296">
        <f>-Businessplan_prodej!$F$54/12</f>
        <v>-181080</v>
      </c>
      <c r="AH40" s="296">
        <f>-Businessplan_prodej!$F$54/12</f>
        <v>-181080</v>
      </c>
      <c r="AI40" s="296"/>
      <c r="AJ40" s="296"/>
      <c r="AK40" s="296"/>
      <c r="AL40" s="299"/>
      <c r="AM40" s="299"/>
      <c r="AN40" s="299"/>
      <c r="AO40" s="299"/>
      <c r="AP40" s="299"/>
      <c r="AQ40" s="299"/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299"/>
      <c r="BF40" s="299"/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  <c r="BU40" s="299"/>
      <c r="BV40" s="299"/>
      <c r="BW40" s="299"/>
      <c r="BX40" s="308"/>
      <c r="BY40" s="302">
        <f t="shared" ref="BY40:BY47" si="17">SUM(E40:BX40)</f>
        <v>-2172960</v>
      </c>
      <c r="BZ40" s="599"/>
      <c r="CA40" s="268"/>
      <c r="CB40" s="293" t="e">
        <f ca="1">SUM(INDEX(AC40:BX40, , 1):INDEX(AC40:BX40, ,MATCH(#REF!, $E$3:$BX$3,0) ))</f>
        <v>#REF!</v>
      </c>
      <c r="CC40" s="599"/>
      <c r="CD40" s="268"/>
      <c r="CE40" s="268"/>
      <c r="CF40" s="268"/>
      <c r="CG40" s="268"/>
      <c r="CH40" s="268"/>
      <c r="CI40" s="268"/>
      <c r="CJ40" s="268"/>
      <c r="CK40" s="268"/>
      <c r="CL40" s="268"/>
      <c r="CM40" s="268"/>
      <c r="CN40" s="268"/>
      <c r="CO40" s="268"/>
      <c r="CP40" s="268"/>
      <c r="CQ40" s="268"/>
      <c r="CR40" s="268"/>
      <c r="CS40" s="268"/>
      <c r="CT40" s="268"/>
      <c r="CU40" s="268"/>
      <c r="CV40" s="268"/>
      <c r="CW40" s="268"/>
      <c r="CX40" s="268"/>
      <c r="CY40" s="268"/>
      <c r="CZ40" s="268"/>
      <c r="DA40" s="268"/>
      <c r="DB40" s="268"/>
      <c r="DC40" s="268"/>
      <c r="DD40" s="268"/>
      <c r="DE40" s="268"/>
      <c r="DF40" s="268"/>
      <c r="DG40" s="268"/>
      <c r="DH40" s="268"/>
      <c r="DI40" s="268"/>
      <c r="DJ40" s="268"/>
      <c r="DK40" s="268"/>
      <c r="DL40" s="268"/>
      <c r="DM40" s="268"/>
      <c r="DN40" s="268"/>
      <c r="DO40" s="268"/>
      <c r="DP40" s="268"/>
      <c r="DQ40" s="268"/>
      <c r="DR40" s="268"/>
      <c r="DS40" s="268"/>
      <c r="DT40" s="268"/>
      <c r="DU40" s="268"/>
      <c r="DV40" s="268"/>
      <c r="DW40" s="268"/>
      <c r="DX40" s="268"/>
      <c r="DY40" s="268"/>
      <c r="DZ40" s="268"/>
      <c r="EA40" s="268"/>
      <c r="EB40" s="268"/>
      <c r="EC40" s="268"/>
      <c r="ED40" s="268"/>
      <c r="EE40" s="268"/>
      <c r="EF40" s="268"/>
      <c r="EG40" s="268"/>
      <c r="EH40" s="268"/>
    </row>
    <row r="41" spans="1:138" ht="15.95" outlineLevel="1">
      <c r="A41" s="474"/>
      <c r="B41" s="609"/>
      <c r="C41" s="304" t="s">
        <v>273</v>
      </c>
      <c r="D41" s="295" t="s">
        <v>245</v>
      </c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6"/>
      <c r="Q41" s="296"/>
      <c r="R41" s="296"/>
      <c r="S41" s="296"/>
      <c r="T41" s="296"/>
      <c r="U41" s="296"/>
      <c r="V41" s="296"/>
      <c r="W41" s="296"/>
      <c r="X41" s="296">
        <f>-SUM(Businessplan_prodej!$F$56+Businessplan_prodej!$F$57+Businessplan_prodej!$F$59+Businessplan_prodej!$F$61)/11</f>
        <v>-234545.45454545456</v>
      </c>
      <c r="Y41" s="296">
        <f>-SUM(Businessplan_prodej!$F$56+Businessplan_prodej!$F$57+Businessplan_prodej!$F$59+Businessplan_prodej!$F$61)/11</f>
        <v>-234545.45454545456</v>
      </c>
      <c r="Z41" s="296">
        <f>-SUM(Businessplan_prodej!$F$56+Businessplan_prodej!$F$57+Businessplan_prodej!$F$59+Businessplan_prodej!$F$61)/11</f>
        <v>-234545.45454545456</v>
      </c>
      <c r="AA41" s="296">
        <f>-SUM(Businessplan_prodej!$F$56+Businessplan_prodej!$F$57+Businessplan_prodej!$F$59+Businessplan_prodej!$F$61)/11</f>
        <v>-234545.45454545456</v>
      </c>
      <c r="AB41" s="296">
        <f>-SUM(Businessplan_prodej!$F$56+Businessplan_prodej!$F$57+Businessplan_prodej!$F$59+Businessplan_prodej!$F$61)/11</f>
        <v>-234545.45454545456</v>
      </c>
      <c r="AC41" s="296">
        <f>-SUM(Businessplan_prodej!$F$56+Businessplan_prodej!$F$57+Businessplan_prodej!$F$59+Businessplan_prodej!$F$61)/11</f>
        <v>-234545.45454545456</v>
      </c>
      <c r="AD41" s="296">
        <f>-SUM(Businessplan_prodej!$F$56+Businessplan_prodej!$F$57+Businessplan_prodej!$F$59+Businessplan_prodej!$F$61)/11</f>
        <v>-234545.45454545456</v>
      </c>
      <c r="AE41" s="296">
        <f>-SUM(Businessplan_prodej!$F$56+Businessplan_prodej!$F$57+Businessplan_prodej!$F$59+Businessplan_prodej!$F$61)/11</f>
        <v>-234545.45454545456</v>
      </c>
      <c r="AF41" s="296">
        <f>-SUM(Businessplan_prodej!$F$56+Businessplan_prodej!$F$57+Businessplan_prodej!$F$59+Businessplan_prodej!$F$61)/11</f>
        <v>-234545.45454545456</v>
      </c>
      <c r="AG41" s="296">
        <f>-SUM(Businessplan_prodej!$F$56+Businessplan_prodej!$F$57+Businessplan_prodej!$F$59+Businessplan_prodej!$F$61)/11</f>
        <v>-234545.45454545456</v>
      </c>
      <c r="AH41" s="296">
        <f>-SUM(Businessplan_prodej!$F$56+Businessplan_prodej!$F$57+Businessplan_prodej!$F$59+Businessplan_prodej!$F$61)/11</f>
        <v>-234545.45454545456</v>
      </c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6"/>
      <c r="BN41" s="299"/>
      <c r="BO41" s="299"/>
      <c r="BP41" s="299"/>
      <c r="BQ41" s="299"/>
      <c r="BR41" s="299"/>
      <c r="BS41" s="299"/>
      <c r="BT41" s="299"/>
      <c r="BU41" s="299"/>
      <c r="BV41" s="299"/>
      <c r="BW41" s="299"/>
      <c r="BX41" s="308"/>
      <c r="BY41" s="303">
        <f t="shared" si="17"/>
        <v>-2580000</v>
      </c>
      <c r="BZ41" s="599"/>
      <c r="CA41" s="268"/>
      <c r="CB41" s="293"/>
      <c r="CC41" s="599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  <c r="CY41" s="268"/>
      <c r="CZ41" s="268"/>
      <c r="DA41" s="268"/>
      <c r="DB41" s="268"/>
      <c r="DC41" s="268"/>
      <c r="DD41" s="268"/>
      <c r="DE41" s="268"/>
      <c r="DF41" s="268"/>
      <c r="DG41" s="268"/>
      <c r="DH41" s="268"/>
      <c r="DI41" s="268"/>
      <c r="DJ41" s="268"/>
      <c r="DK41" s="268"/>
      <c r="DL41" s="268"/>
      <c r="DM41" s="268"/>
      <c r="DN41" s="268"/>
      <c r="DO41" s="268"/>
      <c r="DP41" s="268"/>
      <c r="DQ41" s="268"/>
      <c r="DR41" s="268"/>
      <c r="DS41" s="268"/>
      <c r="DT41" s="268"/>
      <c r="DU41" s="268"/>
      <c r="DV41" s="268"/>
      <c r="DW41" s="268"/>
      <c r="DX41" s="268"/>
      <c r="DY41" s="268"/>
      <c r="DZ41" s="268"/>
      <c r="EA41" s="268"/>
      <c r="EB41" s="268"/>
      <c r="EC41" s="268"/>
      <c r="ED41" s="268"/>
      <c r="EE41" s="268"/>
      <c r="EF41" s="268"/>
      <c r="EG41" s="268"/>
      <c r="EH41" s="268"/>
    </row>
    <row r="42" spans="1:138" ht="15.95" outlineLevel="1">
      <c r="A42" s="474"/>
      <c r="B42" s="609"/>
      <c r="C42" s="543" t="str">
        <f>Businessplan_prodej!B60</f>
        <v>cost management VŘ GD</v>
      </c>
      <c r="D42" s="295" t="s">
        <v>245</v>
      </c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6"/>
      <c r="Q42" s="296"/>
      <c r="R42" s="296"/>
      <c r="S42" s="296"/>
      <c r="T42" s="296"/>
      <c r="U42" s="296"/>
      <c r="V42" s="296"/>
      <c r="W42" s="296">
        <f>-Businessplan_prodej!F60</f>
        <v>-125000</v>
      </c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9"/>
      <c r="AK42" s="299"/>
      <c r="AL42" s="299"/>
      <c r="AM42" s="299"/>
      <c r="AN42" s="299"/>
      <c r="AO42" s="299"/>
      <c r="AP42" s="299"/>
      <c r="AQ42" s="299"/>
      <c r="AR42" s="299"/>
      <c r="AS42" s="299"/>
      <c r="AT42" s="299"/>
      <c r="AU42" s="299"/>
      <c r="AV42" s="299"/>
      <c r="AW42" s="299"/>
      <c r="AX42" s="299"/>
      <c r="AY42" s="299"/>
      <c r="AZ42" s="299"/>
      <c r="BA42" s="299"/>
      <c r="BB42" s="299"/>
      <c r="BC42" s="299"/>
      <c r="BD42" s="299"/>
      <c r="BE42" s="299"/>
      <c r="BF42" s="299"/>
      <c r="BG42" s="299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308"/>
      <c r="BY42" s="303">
        <f t="shared" si="17"/>
        <v>-125000</v>
      </c>
      <c r="BZ42" s="599"/>
      <c r="CA42" s="268"/>
      <c r="CB42" s="293" t="e">
        <f t="shared" ref="CB42" ca="1" si="18">SUM(INDEX(AC42:BX42, , 1):INDEX(AC42:BX42, ,MATCH(#REF!, $E$3:$BX$3,0) ))</f>
        <v>#REF!</v>
      </c>
      <c r="CC42" s="599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  <c r="CY42" s="268"/>
      <c r="CZ42" s="268"/>
      <c r="DA42" s="268"/>
      <c r="DB42" s="268"/>
      <c r="DC42" s="268"/>
      <c r="DD42" s="268"/>
      <c r="DE42" s="268"/>
      <c r="DF42" s="268"/>
      <c r="DG42" s="268"/>
      <c r="DH42" s="268"/>
      <c r="DI42" s="268"/>
      <c r="DJ42" s="268"/>
      <c r="DK42" s="268"/>
      <c r="DL42" s="268"/>
      <c r="DM42" s="268"/>
      <c r="DN42" s="268"/>
      <c r="DO42" s="268"/>
      <c r="DP42" s="268"/>
      <c r="DQ42" s="268"/>
      <c r="DR42" s="268"/>
      <c r="DS42" s="268"/>
      <c r="DT42" s="268"/>
      <c r="DU42" s="268"/>
      <c r="DV42" s="268"/>
      <c r="DW42" s="268"/>
      <c r="DX42" s="268"/>
      <c r="DY42" s="268"/>
      <c r="DZ42" s="268"/>
      <c r="EA42" s="268"/>
      <c r="EB42" s="268"/>
      <c r="EC42" s="268"/>
      <c r="ED42" s="268"/>
      <c r="EE42" s="268"/>
      <c r="EF42" s="268"/>
      <c r="EG42" s="268"/>
      <c r="EH42" s="268"/>
    </row>
    <row r="43" spans="1:138" ht="15.95" outlineLevel="1">
      <c r="A43" s="474"/>
      <c r="B43" s="609"/>
      <c r="C43" s="294" t="s">
        <v>274</v>
      </c>
      <c r="D43" s="295" t="s">
        <v>245</v>
      </c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306"/>
      <c r="Q43" s="306"/>
      <c r="R43" s="306"/>
      <c r="S43" s="306"/>
      <c r="T43" s="306"/>
      <c r="U43" s="296"/>
      <c r="V43" s="296"/>
      <c r="W43" s="296">
        <f>-Businessplan_prodej!$F$62/13</f>
        <v>-12269.284338461537</v>
      </c>
      <c r="X43" s="296">
        <f>-Businessplan_prodej!$F$62/13</f>
        <v>-12269.284338461537</v>
      </c>
      <c r="Y43" s="296">
        <f>-Businessplan_prodej!$F$62/13</f>
        <v>-12269.284338461537</v>
      </c>
      <c r="Z43" s="296">
        <f>-Businessplan_prodej!$F$62/13</f>
        <v>-12269.284338461537</v>
      </c>
      <c r="AA43" s="296">
        <f>-Businessplan_prodej!$F$62/13</f>
        <v>-12269.284338461537</v>
      </c>
      <c r="AB43" s="296">
        <f>-Businessplan_prodej!$F$62/13</f>
        <v>-12269.284338461537</v>
      </c>
      <c r="AC43" s="296">
        <f>-Businessplan_prodej!$F$62/13</f>
        <v>-12269.284338461537</v>
      </c>
      <c r="AD43" s="296">
        <f>-Businessplan_prodej!$F$62/13</f>
        <v>-12269.284338461537</v>
      </c>
      <c r="AE43" s="296">
        <f>-Businessplan_prodej!$F$62/13</f>
        <v>-12269.284338461537</v>
      </c>
      <c r="AF43" s="296">
        <f>-Businessplan_prodej!$F$62/13</f>
        <v>-12269.284338461537</v>
      </c>
      <c r="AG43" s="296">
        <f>-Businessplan_prodej!$F$62/13</f>
        <v>-12269.284338461537</v>
      </c>
      <c r="AH43" s="296">
        <f>-Businessplan_prodej!$F$62/13</f>
        <v>-12269.284338461537</v>
      </c>
      <c r="AI43" s="296">
        <f>-Businessplan_prodej!$F$62/13</f>
        <v>-12269.284338461537</v>
      </c>
      <c r="AJ43" s="30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6"/>
      <c r="BN43" s="296"/>
      <c r="BO43" s="296"/>
      <c r="BP43" s="296"/>
      <c r="BQ43" s="296"/>
      <c r="BR43" s="296"/>
      <c r="BS43" s="296"/>
      <c r="BT43" s="296"/>
      <c r="BU43" s="296"/>
      <c r="BV43" s="296"/>
      <c r="BW43" s="296"/>
      <c r="BX43" s="301"/>
      <c r="BY43" s="303">
        <f t="shared" si="17"/>
        <v>-159500.69639999999</v>
      </c>
      <c r="BZ43" s="599"/>
      <c r="CA43" s="268"/>
      <c r="CB43" s="293" t="e">
        <f ca="1">SUM(INDEX(AC43:BX43, , 1):INDEX(AC43:BX43, ,MATCH(#REF!, $E$3:$BX$3,0) ))</f>
        <v>#REF!</v>
      </c>
      <c r="CC43" s="599"/>
      <c r="CD43" s="268"/>
      <c r="CE43" s="268"/>
      <c r="CF43" s="268"/>
      <c r="CG43" s="268"/>
      <c r="CH43" s="268"/>
      <c r="CI43" s="268"/>
      <c r="CJ43" s="268"/>
      <c r="CK43" s="268"/>
      <c r="CL43" s="268"/>
      <c r="CM43" s="268"/>
      <c r="CN43" s="268"/>
      <c r="CO43" s="268"/>
      <c r="CP43" s="268"/>
      <c r="CQ43" s="268"/>
      <c r="CR43" s="268"/>
      <c r="CS43" s="268"/>
      <c r="CT43" s="268"/>
      <c r="CU43" s="268"/>
      <c r="CV43" s="268"/>
      <c r="CW43" s="268"/>
      <c r="CX43" s="268"/>
      <c r="CY43" s="268"/>
      <c r="CZ43" s="268"/>
      <c r="DA43" s="268"/>
      <c r="DB43" s="268"/>
      <c r="DC43" s="268"/>
      <c r="DD43" s="268"/>
      <c r="DE43" s="268"/>
      <c r="DF43" s="268"/>
      <c r="DG43" s="268"/>
      <c r="DH43" s="268"/>
      <c r="DI43" s="268"/>
      <c r="DJ43" s="268"/>
      <c r="DK43" s="268"/>
      <c r="DL43" s="268"/>
      <c r="DM43" s="268"/>
      <c r="DN43" s="268"/>
      <c r="DO43" s="268"/>
      <c r="DP43" s="268"/>
      <c r="DQ43" s="268"/>
      <c r="DR43" s="268"/>
      <c r="DS43" s="268"/>
      <c r="DT43" s="268"/>
      <c r="DU43" s="268"/>
      <c r="DV43" s="268"/>
      <c r="DW43" s="268"/>
      <c r="DX43" s="268"/>
      <c r="DY43" s="268"/>
      <c r="DZ43" s="268"/>
      <c r="EA43" s="268"/>
      <c r="EB43" s="268"/>
      <c r="EC43" s="268"/>
      <c r="ED43" s="268"/>
      <c r="EE43" s="268"/>
      <c r="EF43" s="268"/>
      <c r="EG43" s="268"/>
      <c r="EH43" s="268"/>
    </row>
    <row r="44" spans="1:138" ht="15.95" outlineLevel="1">
      <c r="A44" s="474"/>
      <c r="B44" s="609"/>
      <c r="C44" s="294" t="s">
        <v>275</v>
      </c>
      <c r="D44" s="295" t="s">
        <v>245</v>
      </c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>
        <f>-Businessplan_prodej!$F$63/13</f>
        <v>-16359.045784615384</v>
      </c>
      <c r="X44" s="296">
        <f>-Businessplan_prodej!$F$63/13</f>
        <v>-16359.045784615384</v>
      </c>
      <c r="Y44" s="296">
        <f>-Businessplan_prodej!$F$63/13</f>
        <v>-16359.045784615384</v>
      </c>
      <c r="Z44" s="296">
        <f>-Businessplan_prodej!$F$63/13</f>
        <v>-16359.045784615384</v>
      </c>
      <c r="AA44" s="296">
        <f>-Businessplan_prodej!$F$63/13</f>
        <v>-16359.045784615384</v>
      </c>
      <c r="AB44" s="296">
        <f>-Businessplan_prodej!$F$63/13</f>
        <v>-16359.045784615384</v>
      </c>
      <c r="AC44" s="296">
        <f>-Businessplan_prodej!$F$63/13</f>
        <v>-16359.045784615384</v>
      </c>
      <c r="AD44" s="296">
        <f>-Businessplan_prodej!$F$63/13</f>
        <v>-16359.045784615384</v>
      </c>
      <c r="AE44" s="296">
        <f>-Businessplan_prodej!$F$63/13</f>
        <v>-16359.045784615384</v>
      </c>
      <c r="AF44" s="296">
        <f>-Businessplan_prodej!$F$63/13</f>
        <v>-16359.045784615384</v>
      </c>
      <c r="AG44" s="296">
        <f>-Businessplan_prodej!$F$63/13</f>
        <v>-16359.045784615384</v>
      </c>
      <c r="AH44" s="296">
        <f>-Businessplan_prodej!$F$63/13</f>
        <v>-16359.045784615384</v>
      </c>
      <c r="AI44" s="296">
        <f>-Businessplan_prodej!$F$63/13</f>
        <v>-16359.045784615384</v>
      </c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6"/>
      <c r="BN44" s="296"/>
      <c r="BO44" s="296"/>
      <c r="BP44" s="296"/>
      <c r="BQ44" s="296"/>
      <c r="BR44" s="296"/>
      <c r="BS44" s="296"/>
      <c r="BT44" s="296"/>
      <c r="BU44" s="296"/>
      <c r="BV44" s="296"/>
      <c r="BW44" s="296"/>
      <c r="BX44" s="301"/>
      <c r="BY44" s="303">
        <f t="shared" si="17"/>
        <v>-212667.59520000001</v>
      </c>
      <c r="BZ44" s="599"/>
      <c r="CA44" s="268"/>
      <c r="CB44" s="293" t="e">
        <f ca="1">SUM(INDEX(AC44:BX44, , 1):INDEX(AC44:BX44, ,MATCH(#REF!, $E$3:$BX$3,0) ))</f>
        <v>#REF!</v>
      </c>
      <c r="CC44" s="599"/>
      <c r="CD44" s="268"/>
      <c r="CE44" s="268"/>
      <c r="CF44" s="268"/>
      <c r="CG44" s="268"/>
      <c r="CH44" s="268"/>
      <c r="CI44" s="268"/>
      <c r="CJ44" s="268"/>
      <c r="CK44" s="268"/>
      <c r="CL44" s="268"/>
      <c r="CM44" s="268"/>
      <c r="CN44" s="268"/>
      <c r="CO44" s="268"/>
      <c r="CP44" s="268"/>
      <c r="CQ44" s="268"/>
      <c r="CR44" s="268"/>
      <c r="CS44" s="268"/>
      <c r="CT44" s="268"/>
      <c r="CU44" s="268"/>
      <c r="CV44" s="268"/>
      <c r="CW44" s="268"/>
      <c r="CX44" s="268"/>
      <c r="CY44" s="268"/>
      <c r="CZ44" s="268"/>
      <c r="DA44" s="268"/>
      <c r="DB44" s="268"/>
      <c r="DC44" s="268"/>
      <c r="DD44" s="268"/>
      <c r="DE44" s="268"/>
      <c r="DF44" s="268"/>
      <c r="DG44" s="268"/>
      <c r="DH44" s="268"/>
      <c r="DI44" s="268"/>
      <c r="DJ44" s="268"/>
      <c r="DK44" s="268"/>
      <c r="DL44" s="268"/>
      <c r="DM44" s="268"/>
      <c r="DN44" s="268"/>
      <c r="DO44" s="268"/>
      <c r="DP44" s="268"/>
      <c r="DQ44" s="268"/>
      <c r="DR44" s="268"/>
      <c r="DS44" s="268"/>
      <c r="DT44" s="268"/>
      <c r="DU44" s="268"/>
      <c r="DV44" s="268"/>
      <c r="DW44" s="268"/>
      <c r="DX44" s="268"/>
      <c r="DY44" s="268"/>
      <c r="DZ44" s="268"/>
      <c r="EA44" s="268"/>
      <c r="EB44" s="268"/>
      <c r="EC44" s="268"/>
      <c r="ED44" s="268"/>
      <c r="EE44" s="268"/>
      <c r="EF44" s="268"/>
      <c r="EG44" s="268"/>
      <c r="EH44" s="268"/>
    </row>
    <row r="45" spans="1:138" ht="14.25" customHeight="1" outlineLevel="1">
      <c r="A45" s="474"/>
      <c r="B45" s="609"/>
      <c r="C45" s="294" t="s">
        <v>276</v>
      </c>
      <c r="D45" s="295" t="s">
        <v>245</v>
      </c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>
        <f>-Businessplan_prodej!$F$64*0.5</f>
        <v>-265834.49400000001</v>
      </c>
      <c r="X45" s="296">
        <f>-Businessplan_prodej!$F$64*0.2</f>
        <v>-106333.79760000001</v>
      </c>
      <c r="Y45" s="296"/>
      <c r="Z45" s="296"/>
      <c r="AA45" s="296"/>
      <c r="AB45" s="296"/>
      <c r="AC45" s="296"/>
      <c r="AD45" s="296"/>
      <c r="AE45" s="296"/>
      <c r="AF45" s="296"/>
      <c r="AG45" s="296"/>
      <c r="AH45" s="296">
        <f>-Businessplan_prodej!$F$64*0.2</f>
        <v>-106333.79760000001</v>
      </c>
      <c r="AI45" s="296">
        <f>-Businessplan_prodej!$F$64*0.1</f>
        <v>-53166.898800000003</v>
      </c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6"/>
      <c r="BN45" s="296"/>
      <c r="BO45" s="296"/>
      <c r="BP45" s="296"/>
      <c r="BQ45" s="296"/>
      <c r="BR45" s="296"/>
      <c r="BS45" s="296"/>
      <c r="BT45" s="296"/>
      <c r="BU45" s="296"/>
      <c r="BV45" s="296"/>
      <c r="BW45" s="296"/>
      <c r="BX45" s="301"/>
      <c r="BY45" s="303">
        <f t="shared" si="17"/>
        <v>-531668.98800000001</v>
      </c>
      <c r="BZ45" s="599"/>
      <c r="CA45" s="268"/>
      <c r="CB45" s="293" t="e">
        <f ca="1">SUM(INDEX(AC45:BX45, , 1):INDEX(AC45:BX45, ,MATCH(CB1, $E$3:$BX$3,0) ))</f>
        <v>#N/A</v>
      </c>
      <c r="CC45" s="599"/>
      <c r="CD45" s="268"/>
      <c r="CE45" s="268"/>
      <c r="CF45" s="268"/>
      <c r="CG45" s="268"/>
      <c r="CH45" s="268"/>
      <c r="CI45" s="268"/>
      <c r="CJ45" s="268"/>
      <c r="CK45" s="268"/>
      <c r="CL45" s="268"/>
      <c r="CM45" s="268"/>
      <c r="CN45" s="268"/>
      <c r="CO45" s="268"/>
      <c r="CP45" s="268"/>
      <c r="CQ45" s="268"/>
      <c r="CR45" s="268"/>
      <c r="CS45" s="268"/>
      <c r="CT45" s="268"/>
      <c r="CU45" s="268"/>
      <c r="CV45" s="268"/>
      <c r="CW45" s="268"/>
      <c r="CX45" s="268"/>
      <c r="CY45" s="268"/>
      <c r="CZ45" s="268"/>
      <c r="DA45" s="268"/>
      <c r="DB45" s="268"/>
      <c r="DC45" s="268"/>
      <c r="DD45" s="268"/>
      <c r="DE45" s="268"/>
      <c r="DF45" s="268"/>
      <c r="DG45" s="268"/>
      <c r="DH45" s="268"/>
      <c r="DI45" s="268"/>
      <c r="DJ45" s="268"/>
      <c r="DK45" s="268"/>
      <c r="DL45" s="268"/>
      <c r="DM45" s="268"/>
      <c r="DN45" s="268"/>
      <c r="DO45" s="268"/>
      <c r="DP45" s="268"/>
      <c r="DQ45" s="268"/>
      <c r="DR45" s="268"/>
      <c r="DS45" s="268"/>
      <c r="DT45" s="268"/>
      <c r="DU45" s="268"/>
      <c r="DV45" s="268"/>
      <c r="DW45" s="268"/>
      <c r="DX45" s="268"/>
      <c r="DY45" s="268"/>
      <c r="DZ45" s="268"/>
      <c r="EA45" s="268"/>
      <c r="EB45" s="268"/>
      <c r="EC45" s="268"/>
      <c r="ED45" s="268"/>
      <c r="EE45" s="268"/>
      <c r="EF45" s="268"/>
      <c r="EG45" s="268"/>
      <c r="EH45" s="268"/>
    </row>
    <row r="46" spans="1:138" ht="14.25" customHeight="1" outlineLevel="1">
      <c r="A46" s="474"/>
      <c r="B46" s="609"/>
      <c r="C46" s="294"/>
      <c r="D46" s="295" t="s">
        <v>245</v>
      </c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>
        <f>-Businessplan_prodej!F65</f>
        <v>0</v>
      </c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6"/>
      <c r="BN46" s="296"/>
      <c r="BO46" s="296"/>
      <c r="BP46" s="296"/>
      <c r="BQ46" s="296"/>
      <c r="BR46" s="296"/>
      <c r="BS46" s="296"/>
      <c r="BT46" s="296"/>
      <c r="BU46" s="296"/>
      <c r="BV46" s="296"/>
      <c r="BW46" s="296"/>
      <c r="BX46" s="301"/>
      <c r="BY46" s="303">
        <f t="shared" si="17"/>
        <v>0</v>
      </c>
      <c r="BZ46" s="599"/>
      <c r="CA46" s="268"/>
      <c r="CB46" s="293" t="e">
        <f ca="1">SUM(INDEX(AC46:BX46, , 1):INDEX(AC46:BX46, ,MATCH(CB2, $E$3:$BX$3,0) ))</f>
        <v>#N/A</v>
      </c>
      <c r="CC46" s="599"/>
      <c r="CD46" s="268"/>
      <c r="CE46" s="268"/>
      <c r="CF46" s="268"/>
      <c r="CG46" s="268"/>
      <c r="CH46" s="268"/>
      <c r="CI46" s="268"/>
      <c r="CJ46" s="268"/>
      <c r="CK46" s="268"/>
      <c r="CL46" s="268"/>
      <c r="CM46" s="268"/>
      <c r="CN46" s="268"/>
      <c r="CO46" s="268"/>
      <c r="CP46" s="268"/>
      <c r="CQ46" s="268"/>
      <c r="CR46" s="268"/>
      <c r="CS46" s="268"/>
      <c r="CT46" s="268"/>
      <c r="CU46" s="268"/>
      <c r="CV46" s="268"/>
      <c r="CW46" s="268"/>
      <c r="CX46" s="268"/>
      <c r="CY46" s="268"/>
      <c r="CZ46" s="268"/>
      <c r="DA46" s="268"/>
      <c r="DB46" s="268"/>
      <c r="DC46" s="268"/>
      <c r="DD46" s="268"/>
      <c r="DE46" s="268"/>
      <c r="DF46" s="268"/>
      <c r="DG46" s="268"/>
      <c r="DH46" s="268"/>
      <c r="DI46" s="268"/>
      <c r="DJ46" s="268"/>
      <c r="DK46" s="268"/>
      <c r="DL46" s="268"/>
      <c r="DM46" s="268"/>
      <c r="DN46" s="268"/>
      <c r="DO46" s="268"/>
      <c r="DP46" s="268"/>
      <c r="DQ46" s="268"/>
      <c r="DR46" s="268"/>
      <c r="DS46" s="268"/>
      <c r="DT46" s="268"/>
      <c r="DU46" s="268"/>
      <c r="DV46" s="268"/>
      <c r="DW46" s="268"/>
      <c r="DX46" s="268"/>
      <c r="DY46" s="268"/>
      <c r="DZ46" s="268"/>
      <c r="EA46" s="268"/>
      <c r="EB46" s="268"/>
      <c r="EC46" s="268"/>
      <c r="ED46" s="268"/>
      <c r="EE46" s="268"/>
      <c r="EF46" s="268"/>
      <c r="EG46" s="268"/>
      <c r="EH46" s="268"/>
    </row>
    <row r="47" spans="1:138" ht="14.25" customHeight="1" outlineLevel="1">
      <c r="A47" s="474"/>
      <c r="B47" s="609"/>
      <c r="C47" s="294" t="s">
        <v>277</v>
      </c>
      <c r="D47" s="298" t="s">
        <v>245</v>
      </c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>
        <f>-Businessplan_prodej!$F$66/2</f>
        <v>-1181819.0249999999</v>
      </c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>
        <f>-Businessplan_prodej!$F$66/2</f>
        <v>-1181819.0249999999</v>
      </c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6"/>
      <c r="BN47" s="296"/>
      <c r="BO47" s="296"/>
      <c r="BP47" s="296"/>
      <c r="BQ47" s="296"/>
      <c r="BR47" s="296"/>
      <c r="BS47" s="296"/>
      <c r="BT47" s="296"/>
      <c r="BU47" s="296"/>
      <c r="BV47" s="296"/>
      <c r="BW47" s="296"/>
      <c r="BX47" s="301"/>
      <c r="BY47" s="303">
        <f t="shared" si="17"/>
        <v>-2363638.0499999998</v>
      </c>
      <c r="BZ47" s="599"/>
      <c r="CA47" s="268"/>
      <c r="CB47" s="293" t="e">
        <f ca="1">SUM(INDEX(AC47:BX47, , 1):INDEX(AC47:BX47, ,MATCH(CB3, $E$3:$BX$3,0) ))</f>
        <v>#N/A</v>
      </c>
      <c r="CC47" s="599"/>
      <c r="CD47" s="268"/>
      <c r="CE47" s="268"/>
      <c r="CF47" s="268"/>
      <c r="CG47" s="268"/>
      <c r="CH47" s="268"/>
      <c r="CI47" s="268"/>
      <c r="CJ47" s="268"/>
      <c r="CK47" s="268"/>
      <c r="CL47" s="268"/>
      <c r="CM47" s="268"/>
      <c r="CN47" s="268"/>
      <c r="CO47" s="268"/>
      <c r="CP47" s="268"/>
      <c r="CQ47" s="268"/>
      <c r="CR47" s="268"/>
      <c r="CS47" s="268"/>
      <c r="CT47" s="268"/>
      <c r="CU47" s="268"/>
      <c r="CV47" s="268"/>
      <c r="CW47" s="268"/>
      <c r="CX47" s="268"/>
      <c r="CY47" s="268"/>
      <c r="CZ47" s="268"/>
      <c r="DA47" s="268"/>
      <c r="DB47" s="268"/>
      <c r="DC47" s="268"/>
      <c r="DD47" s="268"/>
      <c r="DE47" s="268"/>
      <c r="DF47" s="268"/>
      <c r="DG47" s="268"/>
      <c r="DH47" s="268"/>
      <c r="DI47" s="268"/>
      <c r="DJ47" s="268"/>
      <c r="DK47" s="268"/>
      <c r="DL47" s="268"/>
      <c r="DM47" s="268"/>
      <c r="DN47" s="268"/>
      <c r="DO47" s="268"/>
      <c r="DP47" s="268"/>
      <c r="DQ47" s="268"/>
      <c r="DR47" s="268"/>
      <c r="DS47" s="268"/>
      <c r="DT47" s="268"/>
      <c r="DU47" s="268"/>
      <c r="DV47" s="268"/>
      <c r="DW47" s="268"/>
      <c r="DX47" s="268"/>
      <c r="DY47" s="268"/>
      <c r="DZ47" s="268"/>
      <c r="EA47" s="268"/>
      <c r="EB47" s="268"/>
      <c r="EC47" s="268"/>
      <c r="ED47" s="268"/>
      <c r="EE47" s="268"/>
      <c r="EF47" s="268"/>
      <c r="EG47" s="268"/>
      <c r="EH47" s="268"/>
    </row>
    <row r="48" spans="1:138" ht="15.95" collapsed="1">
      <c r="A48" s="474"/>
      <c r="B48" s="609"/>
      <c r="C48" s="289" t="s">
        <v>278</v>
      </c>
      <c r="D48" s="290"/>
      <c r="E48" s="291">
        <f t="shared" ref="E48:BX48" si="19">SUM(E49:E53)</f>
        <v>0</v>
      </c>
      <c r="F48" s="291">
        <f t="shared" si="19"/>
        <v>0</v>
      </c>
      <c r="G48" s="291">
        <f t="shared" si="19"/>
        <v>0</v>
      </c>
      <c r="H48" s="291">
        <f t="shared" si="19"/>
        <v>0</v>
      </c>
      <c r="I48" s="291">
        <f t="shared" si="19"/>
        <v>0</v>
      </c>
      <c r="J48" s="291">
        <f t="shared" si="19"/>
        <v>0</v>
      </c>
      <c r="K48" s="291">
        <f t="shared" si="19"/>
        <v>0</v>
      </c>
      <c r="L48" s="291">
        <f t="shared" si="19"/>
        <v>0</v>
      </c>
      <c r="M48" s="291">
        <f t="shared" si="19"/>
        <v>0</v>
      </c>
      <c r="N48" s="291">
        <f t="shared" si="19"/>
        <v>0</v>
      </c>
      <c r="O48" s="291">
        <f t="shared" si="19"/>
        <v>0</v>
      </c>
      <c r="P48" s="291">
        <f t="shared" si="19"/>
        <v>0</v>
      </c>
      <c r="Q48" s="291">
        <f t="shared" si="19"/>
        <v>0</v>
      </c>
      <c r="R48" s="291">
        <f t="shared" si="19"/>
        <v>0</v>
      </c>
      <c r="S48" s="291">
        <f t="shared" si="19"/>
        <v>0</v>
      </c>
      <c r="T48" s="291">
        <f t="shared" si="19"/>
        <v>0</v>
      </c>
      <c r="U48" s="291">
        <f t="shared" si="19"/>
        <v>0</v>
      </c>
      <c r="V48" s="291">
        <f t="shared" si="19"/>
        <v>-1090.909090909091</v>
      </c>
      <c r="W48" s="291">
        <f t="shared" si="19"/>
        <v>-1090.909090909091</v>
      </c>
      <c r="X48" s="291">
        <f t="shared" si="19"/>
        <v>-1090.909090909091</v>
      </c>
      <c r="Y48" s="291">
        <f t="shared" si="19"/>
        <v>-1090.909090909091</v>
      </c>
      <c r="Z48" s="291">
        <f t="shared" si="19"/>
        <v>-205525.4145993891</v>
      </c>
      <c r="AA48" s="291">
        <f t="shared" si="19"/>
        <v>-1090.909090909091</v>
      </c>
      <c r="AB48" s="291">
        <f t="shared" si="19"/>
        <v>-1090.909090909091</v>
      </c>
      <c r="AC48" s="291">
        <f t="shared" si="19"/>
        <v>-1090.909090909091</v>
      </c>
      <c r="AD48" s="291">
        <f t="shared" si="19"/>
        <v>-1090.909090909091</v>
      </c>
      <c r="AE48" s="291">
        <f t="shared" si="19"/>
        <v>-1090.909090909091</v>
      </c>
      <c r="AF48" s="291">
        <f t="shared" si="19"/>
        <v>-1090.909090909091</v>
      </c>
      <c r="AG48" s="291">
        <f t="shared" si="19"/>
        <v>-1090.909090909091</v>
      </c>
      <c r="AH48" s="291">
        <f t="shared" si="19"/>
        <v>-1090.909090909091</v>
      </c>
      <c r="AI48" s="291">
        <f t="shared" si="19"/>
        <v>-1090.909090909091</v>
      </c>
      <c r="AJ48" s="291">
        <f t="shared" si="19"/>
        <v>0</v>
      </c>
      <c r="AK48" s="291">
        <f t="shared" si="19"/>
        <v>0</v>
      </c>
      <c r="AL48" s="291">
        <f t="shared" si="19"/>
        <v>0</v>
      </c>
      <c r="AM48" s="291">
        <f t="shared" si="19"/>
        <v>0</v>
      </c>
      <c r="AN48" s="291">
        <f t="shared" si="19"/>
        <v>0</v>
      </c>
      <c r="AO48" s="291">
        <f t="shared" si="19"/>
        <v>0</v>
      </c>
      <c r="AP48" s="291">
        <f t="shared" si="19"/>
        <v>0</v>
      </c>
      <c r="AQ48" s="291">
        <f t="shared" si="19"/>
        <v>0</v>
      </c>
      <c r="AR48" s="291">
        <f t="shared" si="19"/>
        <v>0</v>
      </c>
      <c r="AS48" s="291">
        <f t="shared" si="19"/>
        <v>0</v>
      </c>
      <c r="AT48" s="291">
        <f t="shared" si="19"/>
        <v>0</v>
      </c>
      <c r="AU48" s="291">
        <f t="shared" si="19"/>
        <v>0</v>
      </c>
      <c r="AV48" s="291">
        <f t="shared" si="19"/>
        <v>0</v>
      </c>
      <c r="AW48" s="291">
        <f t="shared" si="19"/>
        <v>0</v>
      </c>
      <c r="AX48" s="291">
        <f t="shared" si="19"/>
        <v>0</v>
      </c>
      <c r="AY48" s="291">
        <f t="shared" si="19"/>
        <v>0</v>
      </c>
      <c r="AZ48" s="291">
        <f t="shared" si="19"/>
        <v>0</v>
      </c>
      <c r="BA48" s="291">
        <f t="shared" si="19"/>
        <v>0</v>
      </c>
      <c r="BB48" s="291">
        <f t="shared" si="19"/>
        <v>0</v>
      </c>
      <c r="BC48" s="291">
        <f t="shared" si="19"/>
        <v>0</v>
      </c>
      <c r="BD48" s="291">
        <f t="shared" si="19"/>
        <v>0</v>
      </c>
      <c r="BE48" s="291">
        <f t="shared" si="19"/>
        <v>0</v>
      </c>
      <c r="BF48" s="291">
        <f t="shared" si="19"/>
        <v>0</v>
      </c>
      <c r="BG48" s="291">
        <f t="shared" si="19"/>
        <v>0</v>
      </c>
      <c r="BH48" s="291">
        <f t="shared" si="19"/>
        <v>0</v>
      </c>
      <c r="BI48" s="291">
        <f t="shared" si="19"/>
        <v>0</v>
      </c>
      <c r="BJ48" s="291">
        <f t="shared" si="19"/>
        <v>0</v>
      </c>
      <c r="BK48" s="291">
        <f t="shared" si="19"/>
        <v>0</v>
      </c>
      <c r="BL48" s="291">
        <f t="shared" si="19"/>
        <v>0</v>
      </c>
      <c r="BM48" s="291">
        <f t="shared" si="19"/>
        <v>0</v>
      </c>
      <c r="BN48" s="291">
        <f t="shared" si="19"/>
        <v>0</v>
      </c>
      <c r="BO48" s="291">
        <f t="shared" si="19"/>
        <v>0</v>
      </c>
      <c r="BP48" s="291">
        <f t="shared" si="19"/>
        <v>0</v>
      </c>
      <c r="BQ48" s="291">
        <f t="shared" si="19"/>
        <v>0</v>
      </c>
      <c r="BR48" s="291">
        <f t="shared" si="19"/>
        <v>0</v>
      </c>
      <c r="BS48" s="291">
        <f t="shared" si="19"/>
        <v>0</v>
      </c>
      <c r="BT48" s="291">
        <f t="shared" si="19"/>
        <v>0</v>
      </c>
      <c r="BU48" s="291">
        <f t="shared" si="19"/>
        <v>0</v>
      </c>
      <c r="BV48" s="291">
        <f t="shared" si="19"/>
        <v>0</v>
      </c>
      <c r="BW48" s="291">
        <f t="shared" si="19"/>
        <v>0</v>
      </c>
      <c r="BX48" s="291">
        <f t="shared" si="19"/>
        <v>0</v>
      </c>
      <c r="BY48" s="293">
        <f>SUM(BY49:BY53)</f>
        <v>-219707.23278120731</v>
      </c>
      <c r="BZ48" s="599"/>
      <c r="CA48" s="268"/>
      <c r="CB48" s="293" t="e">
        <f t="array" aca="1" ref="CB48" ca="1">SUM(INDEX(E48:BX48, , 1):INDEX(E48:BX48, ,MATCH($CB$4, $E$3:$BX$3,0) ))</f>
        <v>#N/A</v>
      </c>
      <c r="CC48" s="599"/>
      <c r="CD48" s="268"/>
      <c r="CE48" s="268"/>
      <c r="CF48" s="268"/>
      <c r="CG48" s="268"/>
      <c r="CH48" s="268"/>
      <c r="CI48" s="268"/>
      <c r="CJ48" s="268"/>
      <c r="CK48" s="268"/>
      <c r="CL48" s="268"/>
      <c r="CM48" s="268"/>
      <c r="CN48" s="268"/>
      <c r="CO48" s="268"/>
      <c r="CP48" s="268"/>
      <c r="CQ48" s="268"/>
      <c r="CR48" s="268"/>
      <c r="CS48" s="268"/>
      <c r="CT48" s="268"/>
      <c r="CU48" s="268"/>
      <c r="CV48" s="268"/>
      <c r="CW48" s="268"/>
      <c r="CX48" s="268"/>
      <c r="CY48" s="268"/>
      <c r="CZ48" s="268"/>
      <c r="DA48" s="268"/>
      <c r="DB48" s="268"/>
      <c r="DC48" s="268"/>
      <c r="DD48" s="268"/>
      <c r="DE48" s="268"/>
      <c r="DF48" s="268"/>
      <c r="DG48" s="268"/>
      <c r="DH48" s="268"/>
      <c r="DI48" s="268"/>
      <c r="DJ48" s="268"/>
      <c r="DK48" s="268"/>
      <c r="DL48" s="268"/>
      <c r="DM48" s="268"/>
      <c r="DN48" s="268"/>
      <c r="DO48" s="268"/>
      <c r="DP48" s="268"/>
      <c r="DQ48" s="268"/>
      <c r="DR48" s="268"/>
      <c r="DS48" s="268"/>
      <c r="DT48" s="268"/>
      <c r="DU48" s="268"/>
      <c r="DV48" s="268"/>
      <c r="DW48" s="268"/>
      <c r="DX48" s="268"/>
      <c r="DY48" s="268"/>
      <c r="DZ48" s="268"/>
      <c r="EA48" s="268"/>
      <c r="EB48" s="268"/>
      <c r="EC48" s="268"/>
      <c r="ED48" s="268"/>
      <c r="EE48" s="268"/>
      <c r="EF48" s="268"/>
      <c r="EG48" s="268"/>
      <c r="EH48" s="268"/>
    </row>
    <row r="49" spans="1:138" ht="15.95" hidden="1" outlineLevel="1">
      <c r="A49" s="474"/>
      <c r="B49" s="609"/>
      <c r="C49" s="294" t="s">
        <v>279</v>
      </c>
      <c r="D49" s="295" t="s">
        <v>245</v>
      </c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>
        <f>-Businessplan_prodej!$F$73</f>
        <v>-204434.50550848001</v>
      </c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6"/>
      <c r="BN49" s="296"/>
      <c r="BO49" s="296"/>
      <c r="BP49" s="296"/>
      <c r="BQ49" s="296"/>
      <c r="BR49" s="296"/>
      <c r="BS49" s="296"/>
      <c r="BT49" s="296"/>
      <c r="BU49" s="296"/>
      <c r="BV49" s="296"/>
      <c r="BW49" s="296"/>
      <c r="BX49" s="301"/>
      <c r="BY49" s="302">
        <f t="shared" ref="BY49:BY53" si="20">SUM(E49:BX49)</f>
        <v>-204434.50550848001</v>
      </c>
      <c r="BZ49" s="599"/>
      <c r="CA49" s="268"/>
      <c r="CB49" s="293" t="e">
        <f ca="1">SUM(INDEX(AC49:BX49, , 1):INDEX(AC49:BX49, ,MATCH(CB5, E4:BX4,0) ))</f>
        <v>#N/A</v>
      </c>
      <c r="CC49" s="599"/>
      <c r="CD49" s="268"/>
      <c r="CE49" s="268"/>
      <c r="CF49" s="268"/>
      <c r="CG49" s="268"/>
      <c r="CH49" s="268"/>
      <c r="CI49" s="268"/>
      <c r="CJ49" s="268"/>
      <c r="CK49" s="268"/>
      <c r="CL49" s="268"/>
      <c r="CM49" s="268"/>
      <c r="CN49" s="268"/>
      <c r="CO49" s="268"/>
      <c r="CP49" s="268"/>
      <c r="CQ49" s="268"/>
      <c r="CR49" s="268"/>
      <c r="CS49" s="268"/>
      <c r="CT49" s="268"/>
      <c r="CU49" s="268"/>
      <c r="CV49" s="268"/>
      <c r="CW49" s="268"/>
      <c r="CX49" s="268"/>
      <c r="CY49" s="268"/>
      <c r="CZ49" s="268"/>
      <c r="DA49" s="268"/>
      <c r="DB49" s="268"/>
      <c r="DC49" s="268"/>
      <c r="DD49" s="268"/>
      <c r="DE49" s="268"/>
      <c r="DF49" s="268"/>
      <c r="DG49" s="268"/>
      <c r="DH49" s="268"/>
      <c r="DI49" s="268"/>
      <c r="DJ49" s="268"/>
      <c r="DK49" s="268"/>
      <c r="DL49" s="268"/>
      <c r="DM49" s="268"/>
      <c r="DN49" s="268"/>
      <c r="DO49" s="268"/>
      <c r="DP49" s="268"/>
      <c r="DQ49" s="268"/>
      <c r="DR49" s="268"/>
      <c r="DS49" s="268"/>
      <c r="DT49" s="268"/>
      <c r="DU49" s="268"/>
      <c r="DV49" s="268"/>
      <c r="DW49" s="268"/>
      <c r="DX49" s="268"/>
      <c r="DY49" s="268"/>
      <c r="DZ49" s="268"/>
      <c r="EA49" s="268"/>
      <c r="EB49" s="268"/>
      <c r="EC49" s="268"/>
      <c r="ED49" s="268"/>
      <c r="EE49" s="268"/>
      <c r="EF49" s="268"/>
      <c r="EG49" s="268"/>
      <c r="EH49" s="268"/>
    </row>
    <row r="50" spans="1:138" ht="15.95" hidden="1" outlineLevel="1">
      <c r="A50" s="474"/>
      <c r="B50" s="609"/>
      <c r="C50" s="294" t="s">
        <v>280</v>
      </c>
      <c r="D50" s="295" t="s">
        <v>245</v>
      </c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6"/>
      <c r="BN50" s="296"/>
      <c r="BO50" s="296"/>
      <c r="BP50" s="296"/>
      <c r="BQ50" s="296"/>
      <c r="BR50" s="296"/>
      <c r="BS50" s="296"/>
      <c r="BT50" s="296"/>
      <c r="BU50" s="296"/>
      <c r="BV50" s="296"/>
      <c r="BW50" s="296"/>
      <c r="BX50" s="301"/>
      <c r="BY50" s="302">
        <f t="shared" si="20"/>
        <v>0</v>
      </c>
      <c r="BZ50" s="599"/>
      <c r="CA50" s="268"/>
      <c r="CB50" s="293" t="e">
        <f ca="1">SUM(INDEX(AC50:BX50, , 1):INDEX(AC50:BX50, ,MATCH(CB6, E5:BX5,0) ))</f>
        <v>#N/A</v>
      </c>
      <c r="CC50" s="599"/>
      <c r="CD50" s="268"/>
      <c r="CE50" s="268"/>
      <c r="CF50" s="268"/>
      <c r="CG50" s="268"/>
      <c r="CH50" s="268"/>
      <c r="CI50" s="268"/>
      <c r="CJ50" s="268"/>
      <c r="CK50" s="268"/>
      <c r="CL50" s="268"/>
      <c r="CM50" s="268"/>
      <c r="CN50" s="268"/>
      <c r="CO50" s="268"/>
      <c r="CP50" s="268"/>
      <c r="CQ50" s="268"/>
      <c r="CR50" s="268"/>
      <c r="CS50" s="268"/>
      <c r="CT50" s="268"/>
      <c r="CU50" s="268"/>
      <c r="CV50" s="268"/>
      <c r="CW50" s="268"/>
      <c r="CX50" s="268"/>
      <c r="CY50" s="268"/>
      <c r="CZ50" s="268"/>
      <c r="DA50" s="268"/>
      <c r="DB50" s="268"/>
      <c r="DC50" s="268"/>
      <c r="DD50" s="268"/>
      <c r="DE50" s="268"/>
      <c r="DF50" s="268"/>
      <c r="DG50" s="268"/>
      <c r="DH50" s="268"/>
      <c r="DI50" s="268"/>
      <c r="DJ50" s="268"/>
      <c r="DK50" s="268"/>
      <c r="DL50" s="268"/>
      <c r="DM50" s="268"/>
      <c r="DN50" s="268"/>
      <c r="DO50" s="268"/>
      <c r="DP50" s="268"/>
      <c r="DQ50" s="268"/>
      <c r="DR50" s="268"/>
      <c r="DS50" s="268"/>
      <c r="DT50" s="268"/>
      <c r="DU50" s="268"/>
      <c r="DV50" s="268"/>
      <c r="DW50" s="268"/>
      <c r="DX50" s="268"/>
      <c r="DY50" s="268"/>
      <c r="DZ50" s="268"/>
      <c r="EA50" s="268"/>
      <c r="EB50" s="268"/>
      <c r="EC50" s="268"/>
      <c r="ED50" s="268"/>
      <c r="EE50" s="268"/>
      <c r="EF50" s="268"/>
      <c r="EG50" s="268"/>
      <c r="EH50" s="268"/>
    </row>
    <row r="51" spans="1:138" ht="15.95" hidden="1" outlineLevel="1">
      <c r="A51" s="474"/>
      <c r="B51" s="609"/>
      <c r="C51" s="294" t="s">
        <v>281</v>
      </c>
      <c r="D51" s="295" t="s">
        <v>245</v>
      </c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6"/>
      <c r="BN51" s="296"/>
      <c r="BO51" s="296"/>
      <c r="BP51" s="296"/>
      <c r="BQ51" s="296"/>
      <c r="BR51" s="296"/>
      <c r="BS51" s="296"/>
      <c r="BT51" s="296"/>
      <c r="BU51" s="296"/>
      <c r="BV51" s="296"/>
      <c r="BW51" s="296"/>
      <c r="BX51" s="301"/>
      <c r="BY51" s="302">
        <f t="shared" si="20"/>
        <v>0</v>
      </c>
      <c r="BZ51" s="599"/>
      <c r="CA51" s="268"/>
      <c r="CB51" s="293" t="e">
        <f ca="1">SUM(INDEX(AC51:BX51, , 1):INDEX(AC51:BX51, ,MATCH(CB7, E6:BX6,0) ))</f>
        <v>#N/A</v>
      </c>
      <c r="CC51" s="599"/>
      <c r="CD51" s="268"/>
      <c r="CE51" s="268"/>
      <c r="CF51" s="268"/>
      <c r="CG51" s="268"/>
      <c r="CH51" s="268"/>
      <c r="CI51" s="268"/>
      <c r="CJ51" s="268"/>
      <c r="CK51" s="268"/>
      <c r="CL51" s="268"/>
      <c r="CM51" s="268"/>
      <c r="CN51" s="268"/>
      <c r="CO51" s="268"/>
      <c r="CP51" s="268"/>
      <c r="CQ51" s="268"/>
      <c r="CR51" s="268"/>
      <c r="CS51" s="268"/>
      <c r="CT51" s="268"/>
      <c r="CU51" s="268"/>
      <c r="CV51" s="268"/>
      <c r="CW51" s="268"/>
      <c r="CX51" s="268"/>
      <c r="CY51" s="268"/>
      <c r="CZ51" s="268"/>
      <c r="DA51" s="268"/>
      <c r="DB51" s="268"/>
      <c r="DC51" s="268"/>
      <c r="DD51" s="268"/>
      <c r="DE51" s="268"/>
      <c r="DF51" s="268"/>
      <c r="DG51" s="268"/>
      <c r="DH51" s="268"/>
      <c r="DI51" s="268"/>
      <c r="DJ51" s="268"/>
      <c r="DK51" s="268"/>
      <c r="DL51" s="268"/>
      <c r="DM51" s="268"/>
      <c r="DN51" s="268"/>
      <c r="DO51" s="268"/>
      <c r="DP51" s="268"/>
      <c r="DQ51" s="268"/>
      <c r="DR51" s="268"/>
      <c r="DS51" s="268"/>
      <c r="DT51" s="268"/>
      <c r="DU51" s="268"/>
      <c r="DV51" s="268"/>
      <c r="DW51" s="268"/>
      <c r="DX51" s="268"/>
      <c r="DY51" s="268"/>
      <c r="DZ51" s="268"/>
      <c r="EA51" s="268"/>
      <c r="EB51" s="268"/>
      <c r="EC51" s="268"/>
      <c r="ED51" s="268"/>
      <c r="EE51" s="268"/>
      <c r="EF51" s="268"/>
      <c r="EG51" s="268"/>
      <c r="EH51" s="268"/>
    </row>
    <row r="52" spans="1:138" ht="15.95" hidden="1" outlineLevel="1">
      <c r="A52" s="474"/>
      <c r="B52" s="609"/>
      <c r="C52" s="294" t="s">
        <v>282</v>
      </c>
      <c r="D52" s="295" t="s">
        <v>245</v>
      </c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>
        <f>-Businessplan_prodej!$F$76/11</f>
        <v>-1090.909090909091</v>
      </c>
      <c r="W52" s="296">
        <f>-Businessplan_prodej!$F$76/11</f>
        <v>-1090.909090909091</v>
      </c>
      <c r="X52" s="296">
        <f>-Businessplan_prodej!$F$76/11</f>
        <v>-1090.909090909091</v>
      </c>
      <c r="Y52" s="296">
        <f>-Businessplan_prodej!$F$76/11</f>
        <v>-1090.909090909091</v>
      </c>
      <c r="Z52" s="296">
        <f>-Businessplan_prodej!$F$76/11</f>
        <v>-1090.909090909091</v>
      </c>
      <c r="AA52" s="296">
        <f>-Businessplan_prodej!$F$76/11</f>
        <v>-1090.909090909091</v>
      </c>
      <c r="AB52" s="296">
        <f>-Businessplan_prodej!$F$76/11</f>
        <v>-1090.909090909091</v>
      </c>
      <c r="AC52" s="296">
        <f>-Businessplan_prodej!$F$76/11</f>
        <v>-1090.909090909091</v>
      </c>
      <c r="AD52" s="296">
        <f>-Businessplan_prodej!$F$76/11</f>
        <v>-1090.909090909091</v>
      </c>
      <c r="AE52" s="296">
        <f>-Businessplan_prodej!$F$76/11</f>
        <v>-1090.909090909091</v>
      </c>
      <c r="AF52" s="296">
        <f>-Businessplan_prodej!$F$76/11</f>
        <v>-1090.909090909091</v>
      </c>
      <c r="AG52" s="296">
        <f>-Businessplan_prodej!$F$76/11</f>
        <v>-1090.909090909091</v>
      </c>
      <c r="AH52" s="296">
        <f>-Businessplan_prodej!$F$76/11</f>
        <v>-1090.909090909091</v>
      </c>
      <c r="AI52" s="296">
        <f>-Businessplan_prodej!$F$76/11</f>
        <v>-1090.909090909091</v>
      </c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6"/>
      <c r="BN52" s="296"/>
      <c r="BO52" s="296"/>
      <c r="BP52" s="296"/>
      <c r="BQ52" s="296"/>
      <c r="BR52" s="296"/>
      <c r="BS52" s="296"/>
      <c r="BT52" s="296"/>
      <c r="BU52" s="296"/>
      <c r="BV52" s="296"/>
      <c r="BW52" s="296"/>
      <c r="BX52" s="301"/>
      <c r="BY52" s="303">
        <f t="shared" si="20"/>
        <v>-15272.727272727279</v>
      </c>
      <c r="BZ52" s="599"/>
      <c r="CA52" s="268"/>
      <c r="CB52" s="293" t="e">
        <f ca="1">SUM(INDEX(AC52:BX52, , 1):INDEX(AC52:BX52, ,MATCH(CB8, E7:BX7,0) ))</f>
        <v>#N/A</v>
      </c>
      <c r="CC52" s="599"/>
      <c r="CD52" s="268"/>
      <c r="CE52" s="268"/>
      <c r="CF52" s="268"/>
      <c r="CG52" s="268"/>
      <c r="CH52" s="268"/>
      <c r="CI52" s="268"/>
      <c r="CJ52" s="268"/>
      <c r="CK52" s="268"/>
      <c r="CL52" s="268"/>
      <c r="CM52" s="268"/>
      <c r="CN52" s="268"/>
      <c r="CO52" s="268"/>
      <c r="CP52" s="268"/>
      <c r="CQ52" s="268"/>
      <c r="CR52" s="268"/>
      <c r="CS52" s="268"/>
      <c r="CT52" s="268"/>
      <c r="CU52" s="268"/>
      <c r="CV52" s="268"/>
      <c r="CW52" s="268"/>
      <c r="CX52" s="268"/>
      <c r="CY52" s="268"/>
      <c r="CZ52" s="268"/>
      <c r="DA52" s="268"/>
      <c r="DB52" s="268"/>
      <c r="DC52" s="268"/>
      <c r="DD52" s="268"/>
      <c r="DE52" s="268"/>
      <c r="DF52" s="268"/>
      <c r="DG52" s="268"/>
      <c r="DH52" s="268"/>
      <c r="DI52" s="268"/>
      <c r="DJ52" s="268"/>
      <c r="DK52" s="268"/>
      <c r="DL52" s="268"/>
      <c r="DM52" s="268"/>
      <c r="DN52" s="268"/>
      <c r="DO52" s="268"/>
      <c r="DP52" s="268"/>
      <c r="DQ52" s="268"/>
      <c r="DR52" s="268"/>
      <c r="DS52" s="268"/>
      <c r="DT52" s="268"/>
      <c r="DU52" s="268"/>
      <c r="DV52" s="268"/>
      <c r="DW52" s="268"/>
      <c r="DX52" s="268"/>
      <c r="DY52" s="268"/>
      <c r="DZ52" s="268"/>
      <c r="EA52" s="268"/>
      <c r="EB52" s="268"/>
      <c r="EC52" s="268"/>
      <c r="ED52" s="268"/>
      <c r="EE52" s="268"/>
      <c r="EF52" s="268"/>
      <c r="EG52" s="268"/>
      <c r="EH52" s="268"/>
    </row>
    <row r="53" spans="1:138" ht="15.95" hidden="1" outlineLevel="1">
      <c r="A53" s="474"/>
      <c r="B53" s="609"/>
      <c r="C53" s="294" t="s">
        <v>283</v>
      </c>
      <c r="D53" s="298" t="s">
        <v>245</v>
      </c>
      <c r="E53" s="299"/>
      <c r="F53" s="299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6"/>
      <c r="BN53" s="296"/>
      <c r="BO53" s="296"/>
      <c r="BP53" s="296"/>
      <c r="BQ53" s="296"/>
      <c r="BR53" s="296"/>
      <c r="BS53" s="296"/>
      <c r="BT53" s="296"/>
      <c r="BU53" s="296"/>
      <c r="BV53" s="296"/>
      <c r="BW53" s="296"/>
      <c r="BX53" s="301"/>
      <c r="BY53" s="305">
        <f t="shared" si="20"/>
        <v>0</v>
      </c>
      <c r="BZ53" s="599"/>
      <c r="CA53" s="268"/>
      <c r="CB53" s="293" t="e">
        <f ca="1">SUM(INDEX(AC53:BX53, , 1):INDEX(AC53:BX53, ,MATCH(CB9, E8:BX8,0) ))</f>
        <v>#N/A</v>
      </c>
      <c r="CC53" s="599"/>
      <c r="CD53" s="268"/>
      <c r="CE53" s="268"/>
      <c r="CF53" s="268"/>
      <c r="CG53" s="268"/>
      <c r="CH53" s="268"/>
      <c r="CI53" s="268"/>
      <c r="CJ53" s="268"/>
      <c r="CK53" s="268"/>
      <c r="CL53" s="268"/>
      <c r="CM53" s="268"/>
      <c r="CN53" s="268"/>
      <c r="CO53" s="268"/>
      <c r="CP53" s="268"/>
      <c r="CQ53" s="268"/>
      <c r="CR53" s="268"/>
      <c r="CS53" s="268"/>
      <c r="CT53" s="268"/>
      <c r="CU53" s="268"/>
      <c r="CV53" s="268"/>
      <c r="CW53" s="268"/>
      <c r="CX53" s="268"/>
      <c r="CY53" s="268"/>
      <c r="CZ53" s="268"/>
      <c r="DA53" s="268"/>
      <c r="DB53" s="268"/>
      <c r="DC53" s="268"/>
      <c r="DD53" s="268"/>
      <c r="DE53" s="268"/>
      <c r="DF53" s="268"/>
      <c r="DG53" s="268"/>
      <c r="DH53" s="268"/>
      <c r="DI53" s="268"/>
      <c r="DJ53" s="268"/>
      <c r="DK53" s="268"/>
      <c r="DL53" s="268"/>
      <c r="DM53" s="268"/>
      <c r="DN53" s="268"/>
      <c r="DO53" s="268"/>
      <c r="DP53" s="268"/>
      <c r="DQ53" s="268"/>
      <c r="DR53" s="268"/>
      <c r="DS53" s="268"/>
      <c r="DT53" s="268"/>
      <c r="DU53" s="268"/>
      <c r="DV53" s="268"/>
      <c r="DW53" s="268"/>
      <c r="DX53" s="268"/>
      <c r="DY53" s="268"/>
      <c r="DZ53" s="268"/>
      <c r="EA53" s="268"/>
      <c r="EB53" s="268"/>
      <c r="EC53" s="268"/>
      <c r="ED53" s="268"/>
      <c r="EE53" s="268"/>
      <c r="EF53" s="268"/>
      <c r="EG53" s="268"/>
      <c r="EH53" s="268"/>
    </row>
    <row r="54" spans="1:138" ht="15.95">
      <c r="A54" s="474"/>
      <c r="B54" s="609"/>
      <c r="C54" s="289" t="s">
        <v>284</v>
      </c>
      <c r="D54" s="290"/>
      <c r="E54" s="291">
        <f t="shared" ref="E54:BX54" si="21">SUM(E55:E61)</f>
        <v>0</v>
      </c>
      <c r="F54" s="291">
        <f t="shared" si="21"/>
        <v>0</v>
      </c>
      <c r="G54" s="291">
        <f t="shared" si="21"/>
        <v>0</v>
      </c>
      <c r="H54" s="291">
        <f t="shared" si="21"/>
        <v>0</v>
      </c>
      <c r="I54" s="291">
        <f t="shared" si="21"/>
        <v>0</v>
      </c>
      <c r="J54" s="291">
        <f t="shared" si="21"/>
        <v>0</v>
      </c>
      <c r="K54" s="291">
        <f t="shared" si="21"/>
        <v>0</v>
      </c>
      <c r="L54" s="291">
        <f t="shared" si="21"/>
        <v>0</v>
      </c>
      <c r="M54" s="291">
        <f t="shared" si="21"/>
        <v>0</v>
      </c>
      <c r="N54" s="291">
        <f t="shared" si="21"/>
        <v>0</v>
      </c>
      <c r="O54" s="291">
        <f t="shared" si="21"/>
        <v>0</v>
      </c>
      <c r="P54" s="291">
        <f t="shared" si="21"/>
        <v>0</v>
      </c>
      <c r="Q54" s="291">
        <f t="shared" si="21"/>
        <v>0</v>
      </c>
      <c r="R54" s="291">
        <f t="shared" si="21"/>
        <v>0</v>
      </c>
      <c r="S54" s="291">
        <f t="shared" si="21"/>
        <v>0</v>
      </c>
      <c r="T54" s="291">
        <f t="shared" si="21"/>
        <v>0</v>
      </c>
      <c r="U54" s="291">
        <f t="shared" si="21"/>
        <v>0</v>
      </c>
      <c r="V54" s="291">
        <f t="shared" si="21"/>
        <v>0</v>
      </c>
      <c r="W54" s="291">
        <f t="shared" si="21"/>
        <v>0</v>
      </c>
      <c r="X54" s="291">
        <f t="shared" si="21"/>
        <v>0</v>
      </c>
      <c r="Y54" s="291">
        <f t="shared" si="21"/>
        <v>0</v>
      </c>
      <c r="Z54" s="291">
        <f t="shared" si="21"/>
        <v>-22916.666666666668</v>
      </c>
      <c r="AA54" s="291">
        <f t="shared" si="21"/>
        <v>-73333.333333333328</v>
      </c>
      <c r="AB54" s="291">
        <f t="shared" si="21"/>
        <v>-123750</v>
      </c>
      <c r="AC54" s="291">
        <f t="shared" si="21"/>
        <v>-174166.66666666666</v>
      </c>
      <c r="AD54" s="291">
        <f t="shared" si="21"/>
        <v>-224583.33333333334</v>
      </c>
      <c r="AE54" s="291">
        <f t="shared" si="21"/>
        <v>-275000</v>
      </c>
      <c r="AF54" s="291">
        <f t="shared" si="21"/>
        <v>-325416.66666666669</v>
      </c>
      <c r="AG54" s="291">
        <f t="shared" si="21"/>
        <v>-375833.33333333331</v>
      </c>
      <c r="AH54" s="291">
        <f t="shared" si="21"/>
        <v>-426250</v>
      </c>
      <c r="AI54" s="291">
        <f t="shared" si="21"/>
        <v>-6544999.9999999991</v>
      </c>
      <c r="AJ54" s="291">
        <f t="shared" si="21"/>
        <v>0</v>
      </c>
      <c r="AK54" s="291">
        <f t="shared" si="21"/>
        <v>0</v>
      </c>
      <c r="AL54" s="291">
        <f t="shared" si="21"/>
        <v>0</v>
      </c>
      <c r="AM54" s="291">
        <f t="shared" si="21"/>
        <v>0</v>
      </c>
      <c r="AN54" s="291">
        <f t="shared" si="21"/>
        <v>0</v>
      </c>
      <c r="AO54" s="291">
        <f t="shared" si="21"/>
        <v>0</v>
      </c>
      <c r="AP54" s="291">
        <f t="shared" si="21"/>
        <v>0</v>
      </c>
      <c r="AQ54" s="291">
        <f t="shared" si="21"/>
        <v>0</v>
      </c>
      <c r="AR54" s="291">
        <f t="shared" si="21"/>
        <v>0</v>
      </c>
      <c r="AS54" s="291">
        <f t="shared" si="21"/>
        <v>0</v>
      </c>
      <c r="AT54" s="291">
        <f t="shared" si="21"/>
        <v>0</v>
      </c>
      <c r="AU54" s="291">
        <f t="shared" si="21"/>
        <v>0</v>
      </c>
      <c r="AV54" s="291">
        <f t="shared" si="21"/>
        <v>0</v>
      </c>
      <c r="AW54" s="291">
        <f t="shared" si="21"/>
        <v>0</v>
      </c>
      <c r="AX54" s="291">
        <f t="shared" si="21"/>
        <v>0</v>
      </c>
      <c r="AY54" s="291">
        <f t="shared" si="21"/>
        <v>0</v>
      </c>
      <c r="AZ54" s="291">
        <f t="shared" si="21"/>
        <v>0</v>
      </c>
      <c r="BA54" s="291">
        <f t="shared" si="21"/>
        <v>0</v>
      </c>
      <c r="BB54" s="291">
        <f t="shared" si="21"/>
        <v>0</v>
      </c>
      <c r="BC54" s="291">
        <f t="shared" si="21"/>
        <v>0</v>
      </c>
      <c r="BD54" s="291">
        <f t="shared" si="21"/>
        <v>0</v>
      </c>
      <c r="BE54" s="291">
        <f t="shared" si="21"/>
        <v>0</v>
      </c>
      <c r="BF54" s="291">
        <f t="shared" si="21"/>
        <v>0</v>
      </c>
      <c r="BG54" s="291">
        <f t="shared" si="21"/>
        <v>0</v>
      </c>
      <c r="BH54" s="291">
        <f t="shared" si="21"/>
        <v>0</v>
      </c>
      <c r="BI54" s="291">
        <f t="shared" si="21"/>
        <v>0</v>
      </c>
      <c r="BJ54" s="291">
        <f t="shared" si="21"/>
        <v>0</v>
      </c>
      <c r="BK54" s="291">
        <f t="shared" si="21"/>
        <v>0</v>
      </c>
      <c r="BL54" s="291">
        <f t="shared" si="21"/>
        <v>0</v>
      </c>
      <c r="BM54" s="291">
        <f t="shared" si="21"/>
        <v>0</v>
      </c>
      <c r="BN54" s="291">
        <f t="shared" si="21"/>
        <v>0</v>
      </c>
      <c r="BO54" s="291">
        <f t="shared" si="21"/>
        <v>0</v>
      </c>
      <c r="BP54" s="291">
        <f t="shared" si="21"/>
        <v>0</v>
      </c>
      <c r="BQ54" s="291">
        <f t="shared" si="21"/>
        <v>0</v>
      </c>
      <c r="BR54" s="291">
        <f t="shared" si="21"/>
        <v>0</v>
      </c>
      <c r="BS54" s="291">
        <f t="shared" si="21"/>
        <v>0</v>
      </c>
      <c r="BT54" s="291">
        <f t="shared" si="21"/>
        <v>0</v>
      </c>
      <c r="BU54" s="291">
        <f t="shared" si="21"/>
        <v>0</v>
      </c>
      <c r="BV54" s="291">
        <f t="shared" si="21"/>
        <v>0</v>
      </c>
      <c r="BW54" s="291">
        <f t="shared" si="21"/>
        <v>0</v>
      </c>
      <c r="BX54" s="291">
        <f t="shared" si="21"/>
        <v>0</v>
      </c>
      <c r="BY54" s="293">
        <f>SUM(BY55:BY61)</f>
        <v>-8566250</v>
      </c>
      <c r="BZ54" s="599"/>
      <c r="CA54" s="268"/>
      <c r="CB54" s="293" t="e">
        <f t="array" aca="1" ref="CB54" ca="1">SUM(INDEX(E54:BX54, , 1):INDEX(E54:BX54, ,MATCH($CB$4, $E$3:$BX$3,0) ))</f>
        <v>#N/A</v>
      </c>
      <c r="CC54" s="599"/>
      <c r="CD54" s="268"/>
      <c r="CE54" s="268"/>
      <c r="CF54" s="268"/>
      <c r="CG54" s="268"/>
      <c r="CH54" s="268"/>
      <c r="CI54" s="268"/>
      <c r="CJ54" s="268"/>
      <c r="CK54" s="268"/>
      <c r="CL54" s="268"/>
      <c r="CM54" s="268"/>
      <c r="CN54" s="268"/>
      <c r="CO54" s="268"/>
      <c r="CP54" s="268"/>
      <c r="CQ54" s="268"/>
      <c r="CR54" s="268"/>
      <c r="CS54" s="268"/>
      <c r="CT54" s="268"/>
      <c r="CU54" s="268"/>
      <c r="CV54" s="268"/>
      <c r="CW54" s="268"/>
      <c r="CX54" s="268"/>
      <c r="CY54" s="268"/>
      <c r="CZ54" s="268"/>
      <c r="DA54" s="268"/>
      <c r="DB54" s="268"/>
      <c r="DC54" s="268"/>
      <c r="DD54" s="268"/>
      <c r="DE54" s="268"/>
      <c r="DF54" s="268"/>
      <c r="DG54" s="268"/>
      <c r="DH54" s="268"/>
      <c r="DI54" s="268"/>
      <c r="DJ54" s="268"/>
      <c r="DK54" s="268"/>
      <c r="DL54" s="268"/>
      <c r="DM54" s="268"/>
      <c r="DN54" s="268"/>
      <c r="DO54" s="268"/>
      <c r="DP54" s="268"/>
      <c r="DQ54" s="268"/>
      <c r="DR54" s="268"/>
      <c r="DS54" s="268"/>
      <c r="DT54" s="268"/>
      <c r="DU54" s="268"/>
      <c r="DV54" s="268"/>
      <c r="DW54" s="268"/>
      <c r="DX54" s="268"/>
      <c r="DY54" s="268"/>
      <c r="DZ54" s="268"/>
      <c r="EA54" s="268"/>
      <c r="EB54" s="268"/>
      <c r="EC54" s="268"/>
      <c r="ED54" s="268"/>
      <c r="EE54" s="268"/>
      <c r="EF54" s="268"/>
      <c r="EG54" s="268"/>
      <c r="EH54" s="268"/>
    </row>
    <row r="55" spans="1:138" ht="15.95" outlineLevel="1">
      <c r="A55" s="474"/>
      <c r="B55" s="609"/>
      <c r="C55" s="294" t="s">
        <v>285</v>
      </c>
      <c r="D55" s="309">
        <v>0.11</v>
      </c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301"/>
      <c r="BN55" s="301"/>
      <c r="BO55" s="301"/>
      <c r="BP55" s="301"/>
      <c r="BQ55" s="301"/>
      <c r="BR55" s="301"/>
      <c r="BS55" s="301"/>
      <c r="BT55" s="301"/>
      <c r="BU55" s="301"/>
      <c r="BV55" s="301"/>
      <c r="BW55" s="301"/>
      <c r="BX55" s="301"/>
      <c r="BY55" s="310">
        <f t="shared" ref="BY55:BY61" si="22">SUM(E55:BX55)</f>
        <v>0</v>
      </c>
      <c r="BZ55" s="599"/>
      <c r="CA55" s="268"/>
      <c r="CB55" s="293" t="e">
        <f ca="1">SUM(INDEX(AC55:BX55, , 1):INDEX(AC55:BX55, ,MATCH(CB11, E10:BX10,0) ))</f>
        <v>#N/A</v>
      </c>
      <c r="CC55" s="599"/>
      <c r="CD55" s="268"/>
      <c r="CE55" s="268"/>
      <c r="CF55" s="268"/>
      <c r="CG55" s="268"/>
      <c r="CH55" s="268"/>
      <c r="CI55" s="268"/>
      <c r="CJ55" s="268"/>
      <c r="CK55" s="268"/>
      <c r="CL55" s="268"/>
      <c r="CM55" s="268"/>
      <c r="CN55" s="268"/>
      <c r="CO55" s="268"/>
      <c r="CP55" s="268"/>
      <c r="CQ55" s="268"/>
      <c r="CR55" s="268"/>
      <c r="CS55" s="268"/>
      <c r="CT55" s="268"/>
      <c r="CU55" s="268"/>
      <c r="CV55" s="268"/>
      <c r="CW55" s="268"/>
      <c r="CX55" s="268"/>
      <c r="CY55" s="268"/>
      <c r="CZ55" s="268"/>
      <c r="DA55" s="268"/>
      <c r="DB55" s="268"/>
      <c r="DC55" s="268"/>
      <c r="DD55" s="268"/>
      <c r="DE55" s="268"/>
      <c r="DF55" s="268"/>
      <c r="DG55" s="268"/>
      <c r="DH55" s="268"/>
      <c r="DI55" s="268"/>
      <c r="DJ55" s="268"/>
      <c r="DK55" s="268"/>
      <c r="DL55" s="268"/>
      <c r="DM55" s="268"/>
      <c r="DN55" s="268"/>
      <c r="DO55" s="268"/>
      <c r="DP55" s="268"/>
      <c r="DQ55" s="268"/>
      <c r="DR55" s="268"/>
      <c r="DS55" s="268"/>
      <c r="DT55" s="268"/>
      <c r="DU55" s="268"/>
      <c r="DV55" s="268"/>
      <c r="DW55" s="268"/>
      <c r="DX55" s="268"/>
      <c r="DY55" s="268"/>
      <c r="DZ55" s="268"/>
      <c r="EA55" s="268"/>
      <c r="EB55" s="268"/>
      <c r="EC55" s="268"/>
      <c r="ED55" s="268"/>
      <c r="EE55" s="268"/>
      <c r="EF55" s="268"/>
      <c r="EG55" s="268"/>
      <c r="EH55" s="268"/>
    </row>
    <row r="56" spans="1:138" ht="15.95" outlineLevel="1">
      <c r="A56" s="474"/>
      <c r="B56" s="609"/>
      <c r="C56" s="294" t="s">
        <v>286</v>
      </c>
      <c r="D56" s="309">
        <v>0.11</v>
      </c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>
        <f>-SUM('Interest Calc EQ'!O22:O37)-'Interest Calc EQ'!O37</f>
        <v>-6118749.9999999991</v>
      </c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301"/>
      <c r="BN56" s="301"/>
      <c r="BO56" s="301"/>
      <c r="BP56" s="301"/>
      <c r="BQ56" s="301"/>
      <c r="BR56" s="301"/>
      <c r="BS56" s="301"/>
      <c r="BT56" s="301"/>
      <c r="BU56" s="301"/>
      <c r="BV56" s="301"/>
      <c r="BW56" s="301"/>
      <c r="BX56" s="301"/>
      <c r="BY56" s="311">
        <f t="shared" si="22"/>
        <v>-6118749.9999999991</v>
      </c>
      <c r="BZ56" s="599"/>
      <c r="CA56" s="268"/>
      <c r="CB56" s="293" t="e">
        <f ca="1">SUM(INDEX(AC56:BX56, , 1):INDEX(AC56:BX56, ,MATCH(CB12, E11:BX11,0) ))</f>
        <v>#N/A</v>
      </c>
      <c r="CC56" s="599"/>
      <c r="CD56" s="268"/>
      <c r="CE56" s="268"/>
      <c r="CF56" s="268"/>
      <c r="CG56" s="268"/>
      <c r="CH56" s="268"/>
      <c r="CI56" s="268"/>
      <c r="CJ56" s="268"/>
      <c r="CK56" s="268"/>
      <c r="CL56" s="268"/>
      <c r="CM56" s="268"/>
      <c r="CN56" s="268"/>
      <c r="CO56" s="268"/>
      <c r="CP56" s="268"/>
      <c r="CQ56" s="268"/>
      <c r="CR56" s="268"/>
      <c r="CS56" s="268"/>
      <c r="CT56" s="268"/>
      <c r="CU56" s="268"/>
      <c r="CV56" s="268"/>
      <c r="CW56" s="268"/>
      <c r="CX56" s="268"/>
      <c r="CY56" s="268"/>
      <c r="CZ56" s="268"/>
      <c r="DA56" s="268"/>
      <c r="DB56" s="268"/>
      <c r="DC56" s="268"/>
      <c r="DD56" s="268"/>
      <c r="DE56" s="268"/>
      <c r="DF56" s="268"/>
      <c r="DG56" s="268"/>
      <c r="DH56" s="268"/>
      <c r="DI56" s="268"/>
      <c r="DJ56" s="268"/>
      <c r="DK56" s="268"/>
      <c r="DL56" s="268"/>
      <c r="DM56" s="268"/>
      <c r="DN56" s="268"/>
      <c r="DO56" s="268"/>
      <c r="DP56" s="268"/>
      <c r="DQ56" s="268"/>
      <c r="DR56" s="268"/>
      <c r="DS56" s="268"/>
      <c r="DT56" s="268"/>
      <c r="DU56" s="268"/>
      <c r="DV56" s="268"/>
      <c r="DW56" s="268"/>
      <c r="DX56" s="268"/>
      <c r="DY56" s="268"/>
      <c r="DZ56" s="268"/>
      <c r="EA56" s="268"/>
      <c r="EB56" s="268"/>
      <c r="EC56" s="268"/>
      <c r="ED56" s="268"/>
      <c r="EE56" s="268"/>
      <c r="EF56" s="268"/>
      <c r="EG56" s="268"/>
      <c r="EH56" s="268"/>
    </row>
    <row r="57" spans="1:138" ht="15.95" outlineLevel="1">
      <c r="A57" s="474"/>
      <c r="B57" s="609"/>
      <c r="C57" s="294" t="s">
        <v>287</v>
      </c>
      <c r="D57" s="309">
        <v>0.11</v>
      </c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301"/>
      <c r="BN57" s="301"/>
      <c r="BO57" s="301"/>
      <c r="BP57" s="301"/>
      <c r="BQ57" s="301"/>
      <c r="BR57" s="301"/>
      <c r="BS57" s="301"/>
      <c r="BT57" s="301"/>
      <c r="BU57" s="301"/>
      <c r="BV57" s="301"/>
      <c r="BW57" s="301"/>
      <c r="BX57" s="301"/>
      <c r="BY57" s="311">
        <f t="shared" si="22"/>
        <v>0</v>
      </c>
      <c r="BZ57" s="599"/>
      <c r="CA57" s="268"/>
      <c r="CB57" s="293" t="e">
        <f ca="1">SUM(INDEX(AC57:BX57, , 1):INDEX(AC57:BX57, ,MATCH(CB13, E12:BX12,0) ))</f>
        <v>#N/A</v>
      </c>
      <c r="CC57" s="599"/>
      <c r="CD57" s="268"/>
      <c r="CE57" s="268"/>
      <c r="CF57" s="268"/>
      <c r="CG57" s="268"/>
      <c r="CH57" s="268"/>
      <c r="CI57" s="268"/>
      <c r="CJ57" s="268"/>
      <c r="CK57" s="268"/>
      <c r="CL57" s="268"/>
      <c r="CM57" s="268"/>
      <c r="CN57" s="268"/>
      <c r="CO57" s="268"/>
      <c r="CP57" s="268"/>
      <c r="CQ57" s="268"/>
      <c r="CR57" s="268"/>
      <c r="CS57" s="268"/>
      <c r="CT57" s="268"/>
      <c r="CU57" s="268"/>
      <c r="CV57" s="268"/>
      <c r="CW57" s="268"/>
      <c r="CX57" s="268"/>
      <c r="CY57" s="268"/>
      <c r="CZ57" s="268"/>
      <c r="DA57" s="268"/>
      <c r="DB57" s="268"/>
      <c r="DC57" s="268"/>
      <c r="DD57" s="268"/>
      <c r="DE57" s="268"/>
      <c r="DF57" s="268"/>
      <c r="DG57" s="268"/>
      <c r="DH57" s="268"/>
      <c r="DI57" s="268"/>
      <c r="DJ57" s="268"/>
      <c r="DK57" s="268"/>
      <c r="DL57" s="268"/>
      <c r="DM57" s="268"/>
      <c r="DN57" s="268"/>
      <c r="DO57" s="268"/>
      <c r="DP57" s="268"/>
      <c r="DQ57" s="268"/>
      <c r="DR57" s="268"/>
      <c r="DS57" s="268"/>
      <c r="DT57" s="268"/>
      <c r="DU57" s="268"/>
      <c r="DV57" s="268"/>
      <c r="DW57" s="268"/>
      <c r="DX57" s="268"/>
      <c r="DY57" s="268"/>
      <c r="DZ57" s="268"/>
      <c r="EA57" s="268"/>
      <c r="EB57" s="268"/>
      <c r="EC57" s="268"/>
      <c r="ED57" s="268"/>
      <c r="EE57" s="268"/>
      <c r="EF57" s="268"/>
      <c r="EG57" s="268"/>
      <c r="EH57" s="268"/>
    </row>
    <row r="58" spans="1:138" ht="15.95" outlineLevel="1">
      <c r="A58" s="474"/>
      <c r="B58" s="609"/>
      <c r="C58" s="294" t="s">
        <v>288</v>
      </c>
      <c r="D58" s="309">
        <v>0.11</v>
      </c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301"/>
      <c r="BN58" s="301"/>
      <c r="BO58" s="301"/>
      <c r="BP58" s="301"/>
      <c r="BQ58" s="301"/>
      <c r="BR58" s="301"/>
      <c r="BS58" s="301"/>
      <c r="BT58" s="301"/>
      <c r="BU58" s="301"/>
      <c r="BV58" s="301"/>
      <c r="BW58" s="301"/>
      <c r="BX58" s="301"/>
      <c r="BY58" s="311">
        <f t="shared" si="22"/>
        <v>0</v>
      </c>
      <c r="BZ58" s="599"/>
      <c r="CA58" s="268"/>
      <c r="CB58" s="293" t="e">
        <f ca="1">SUM(INDEX(AC58:BX58, , 1):INDEX(AC58:BX58, ,MATCH(CB14, E13:BX13,0) ))</f>
        <v>#N/A</v>
      </c>
      <c r="CC58" s="599"/>
      <c r="CD58" s="268"/>
      <c r="CE58" s="268"/>
      <c r="CF58" s="268"/>
      <c r="CG58" s="268"/>
      <c r="CH58" s="268"/>
      <c r="CI58" s="268"/>
      <c r="CJ58" s="268"/>
      <c r="CK58" s="268"/>
      <c r="CL58" s="268"/>
      <c r="CM58" s="268"/>
      <c r="CN58" s="268"/>
      <c r="CO58" s="268"/>
      <c r="CP58" s="268"/>
      <c r="CQ58" s="268"/>
      <c r="CR58" s="268"/>
      <c r="CS58" s="268"/>
      <c r="CT58" s="268"/>
      <c r="CU58" s="268"/>
      <c r="CV58" s="268"/>
      <c r="CW58" s="268"/>
      <c r="CX58" s="268"/>
      <c r="CY58" s="268"/>
      <c r="CZ58" s="268"/>
      <c r="DA58" s="268"/>
      <c r="DB58" s="268"/>
      <c r="DC58" s="268"/>
      <c r="DD58" s="268"/>
      <c r="DE58" s="268"/>
      <c r="DF58" s="268"/>
      <c r="DG58" s="268"/>
      <c r="DH58" s="268"/>
      <c r="DI58" s="268"/>
      <c r="DJ58" s="268"/>
      <c r="DK58" s="268"/>
      <c r="DL58" s="268"/>
      <c r="DM58" s="268"/>
      <c r="DN58" s="268"/>
      <c r="DO58" s="268"/>
      <c r="DP58" s="268"/>
      <c r="DQ58" s="268"/>
      <c r="DR58" s="268"/>
      <c r="DS58" s="268"/>
      <c r="DT58" s="268"/>
      <c r="DU58" s="268"/>
      <c r="DV58" s="268"/>
      <c r="DW58" s="268"/>
      <c r="DX58" s="268"/>
      <c r="DY58" s="268"/>
      <c r="DZ58" s="268"/>
      <c r="EA58" s="268"/>
      <c r="EB58" s="268"/>
      <c r="EC58" s="268"/>
      <c r="ED58" s="268"/>
      <c r="EE58" s="268"/>
      <c r="EF58" s="268"/>
      <c r="EG58" s="268"/>
      <c r="EH58" s="268"/>
    </row>
    <row r="59" spans="1:138" ht="15.95" outlineLevel="1">
      <c r="A59" s="474"/>
      <c r="B59" s="609"/>
      <c r="C59" s="294" t="s">
        <v>289</v>
      </c>
      <c r="D59" s="309">
        <v>0.15</v>
      </c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301"/>
      <c r="BN59" s="301"/>
      <c r="BO59" s="301"/>
      <c r="BP59" s="301"/>
      <c r="BQ59" s="301"/>
      <c r="BR59" s="301"/>
      <c r="BS59" s="301"/>
      <c r="BT59" s="301"/>
      <c r="BU59" s="301"/>
      <c r="BV59" s="301"/>
      <c r="BW59" s="301"/>
      <c r="BX59" s="301"/>
      <c r="BY59" s="312">
        <f t="shared" si="22"/>
        <v>0</v>
      </c>
      <c r="BZ59" s="599"/>
      <c r="CA59" s="268"/>
      <c r="CB59" s="293" t="e">
        <f t="array" aca="1" ref="CB59" ca="1">SUM(INDEX(AC59:BX59, , 1):INDEX(AC59:BX59, ,MATCH(CB16, E14:BX14,0) ))</f>
        <v>#N/A</v>
      </c>
      <c r="CC59" s="599"/>
      <c r="CD59" s="268"/>
      <c r="CE59" s="268"/>
      <c r="CF59" s="268"/>
      <c r="CG59" s="268"/>
      <c r="CH59" s="268"/>
      <c r="CI59" s="268"/>
      <c r="CJ59" s="268"/>
      <c r="CK59" s="268"/>
      <c r="CL59" s="268"/>
      <c r="CM59" s="268"/>
      <c r="CN59" s="268"/>
      <c r="CO59" s="268"/>
      <c r="CP59" s="268"/>
      <c r="CQ59" s="268"/>
      <c r="CR59" s="268"/>
      <c r="CS59" s="268"/>
      <c r="CT59" s="268"/>
      <c r="CU59" s="268"/>
      <c r="CV59" s="268"/>
      <c r="CW59" s="268"/>
      <c r="CX59" s="268"/>
      <c r="CY59" s="268"/>
      <c r="CZ59" s="268"/>
      <c r="DA59" s="268"/>
      <c r="DB59" s="268"/>
      <c r="DC59" s="268"/>
      <c r="DD59" s="268"/>
      <c r="DE59" s="268"/>
      <c r="DF59" s="268"/>
      <c r="DG59" s="268"/>
      <c r="DH59" s="268"/>
      <c r="DI59" s="268"/>
      <c r="DJ59" s="268"/>
      <c r="DK59" s="268"/>
      <c r="DL59" s="268"/>
      <c r="DM59" s="268"/>
      <c r="DN59" s="268"/>
      <c r="DO59" s="268"/>
      <c r="DP59" s="268"/>
      <c r="DQ59" s="268"/>
      <c r="DR59" s="268"/>
      <c r="DS59" s="268"/>
      <c r="DT59" s="268"/>
      <c r="DU59" s="268"/>
      <c r="DV59" s="268"/>
      <c r="DW59" s="268"/>
      <c r="DX59" s="268"/>
      <c r="DY59" s="268"/>
      <c r="DZ59" s="268"/>
      <c r="EA59" s="268"/>
      <c r="EB59" s="268"/>
      <c r="EC59" s="268"/>
      <c r="ED59" s="268"/>
      <c r="EE59" s="268"/>
      <c r="EF59" s="268"/>
      <c r="EG59" s="268"/>
      <c r="EH59" s="268"/>
    </row>
    <row r="60" spans="1:138" ht="15.95" outlineLevel="1">
      <c r="A60" s="474"/>
      <c r="B60" s="609"/>
      <c r="C60" s="294" t="s">
        <v>290</v>
      </c>
      <c r="D60" s="313">
        <f>25%/12</f>
        <v>2.0833333333333332E-2</v>
      </c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299"/>
      <c r="Z60" s="299"/>
      <c r="AA60" s="299"/>
      <c r="AB60" s="299"/>
      <c r="AC60" s="299"/>
      <c r="AD60" s="299"/>
      <c r="AE60" s="299"/>
      <c r="AF60" s="299"/>
      <c r="AG60" s="299"/>
      <c r="AH60" s="299"/>
      <c r="AI60" s="299"/>
      <c r="AJ60" s="299"/>
      <c r="AK60" s="299"/>
      <c r="AL60" s="299"/>
      <c r="AM60" s="299"/>
      <c r="AN60" s="299"/>
      <c r="AO60" s="299"/>
      <c r="AP60" s="299"/>
      <c r="AQ60" s="299"/>
      <c r="AR60" s="299"/>
      <c r="AS60" s="299"/>
      <c r="AT60" s="299"/>
      <c r="AU60" s="299"/>
      <c r="AV60" s="299"/>
      <c r="AW60" s="299"/>
      <c r="AX60" s="299"/>
      <c r="AY60" s="299"/>
      <c r="AZ60" s="299"/>
      <c r="BA60" s="299"/>
      <c r="BB60" s="299"/>
      <c r="BC60" s="299"/>
      <c r="BD60" s="299"/>
      <c r="BE60" s="299"/>
      <c r="BF60" s="299"/>
      <c r="BG60" s="299"/>
      <c r="BH60" s="299"/>
      <c r="BI60" s="299"/>
      <c r="BJ60" s="299"/>
      <c r="BK60" s="299"/>
      <c r="BL60" s="296"/>
      <c r="BM60" s="301"/>
      <c r="BN60" s="301"/>
      <c r="BO60" s="301"/>
      <c r="BP60" s="301"/>
      <c r="BQ60" s="301"/>
      <c r="BR60" s="301"/>
      <c r="BS60" s="301"/>
      <c r="BT60" s="301"/>
      <c r="BU60" s="301"/>
      <c r="BV60" s="301"/>
      <c r="BW60" s="301"/>
      <c r="BX60" s="301"/>
      <c r="BY60" s="312">
        <f t="shared" si="22"/>
        <v>0</v>
      </c>
      <c r="BZ60" s="599"/>
      <c r="CA60" s="268"/>
      <c r="CB60" s="293" t="e">
        <f ca="1">SUM(INDEX(AC60:BX60, , 1):INDEX(AC60:BX60, ,MATCH(CB17, E16:BX16,0) ))</f>
        <v>#N/A</v>
      </c>
      <c r="CC60" s="599"/>
      <c r="CD60" s="268"/>
      <c r="CE60" s="268"/>
      <c r="CF60" s="268"/>
      <c r="CG60" s="268"/>
      <c r="CH60" s="268"/>
      <c r="CI60" s="268"/>
      <c r="CJ60" s="268"/>
      <c r="CK60" s="268"/>
      <c r="CL60" s="268"/>
      <c r="CM60" s="268"/>
      <c r="CN60" s="268"/>
      <c r="CO60" s="268"/>
      <c r="CP60" s="268"/>
      <c r="CQ60" s="268"/>
      <c r="CR60" s="268"/>
      <c r="CS60" s="268"/>
      <c r="CT60" s="268"/>
      <c r="CU60" s="268"/>
      <c r="CV60" s="268"/>
      <c r="CW60" s="268"/>
      <c r="CX60" s="268"/>
      <c r="CY60" s="268"/>
      <c r="CZ60" s="268"/>
      <c r="DA60" s="268"/>
      <c r="DB60" s="268"/>
      <c r="DC60" s="268"/>
      <c r="DD60" s="268"/>
      <c r="DE60" s="268"/>
      <c r="DF60" s="268"/>
      <c r="DG60" s="268"/>
      <c r="DH60" s="268"/>
      <c r="DI60" s="268"/>
      <c r="DJ60" s="268"/>
      <c r="DK60" s="268"/>
      <c r="DL60" s="268"/>
      <c r="DM60" s="268"/>
      <c r="DN60" s="268"/>
      <c r="DO60" s="268"/>
      <c r="DP60" s="268"/>
      <c r="DQ60" s="268"/>
      <c r="DR60" s="268"/>
      <c r="DS60" s="268"/>
      <c r="DT60" s="268"/>
      <c r="DU60" s="268"/>
      <c r="DV60" s="268"/>
      <c r="DW60" s="268"/>
      <c r="DX60" s="268"/>
      <c r="DY60" s="268"/>
      <c r="DZ60" s="268"/>
      <c r="EA60" s="268"/>
      <c r="EB60" s="268"/>
      <c r="EC60" s="268"/>
      <c r="ED60" s="268"/>
      <c r="EE60" s="268"/>
      <c r="EF60" s="268"/>
      <c r="EG60" s="268"/>
      <c r="EH60" s="268"/>
    </row>
    <row r="61" spans="1:138" ht="15.95" outlineLevel="1">
      <c r="A61" s="474"/>
      <c r="B61" s="609"/>
      <c r="C61" s="511" t="s">
        <v>291</v>
      </c>
      <c r="D61" s="512">
        <v>5.5E-2</v>
      </c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>
        <f>-SUM($X$11:X11)*$D$61/12</f>
        <v>0</v>
      </c>
      <c r="Y61" s="314">
        <f>-SUM($X$11:Y11)*$D$61/12</f>
        <v>0</v>
      </c>
      <c r="Z61" s="314">
        <f>-SUM($X$11:Z11)*$D$61/12</f>
        <v>-22916.666666666668</v>
      </c>
      <c r="AA61" s="314">
        <f>-SUM($X$11:AA11)*$D$61/12</f>
        <v>-73333.333333333328</v>
      </c>
      <c r="AB61" s="314">
        <f>-SUM($X$11:AB11)*$D$61/12</f>
        <v>-123750</v>
      </c>
      <c r="AC61" s="314">
        <f>-SUM($X$11:AC11)*$D$61/12</f>
        <v>-174166.66666666666</v>
      </c>
      <c r="AD61" s="314">
        <f>-SUM($X$11:AD11)*$D$61/12</f>
        <v>-224583.33333333334</v>
      </c>
      <c r="AE61" s="314">
        <f>-SUM($X$11:AE11)*$D$61/12</f>
        <v>-275000</v>
      </c>
      <c r="AF61" s="314">
        <f>-SUM($X$11:AF11)*$D$61/12</f>
        <v>-325416.66666666669</v>
      </c>
      <c r="AG61" s="314">
        <f>-SUM($X$11:AG11)*$D$61/12</f>
        <v>-375833.33333333331</v>
      </c>
      <c r="AH61" s="314">
        <f>-SUM($X$11:AH11)*$D$61/12</f>
        <v>-426250</v>
      </c>
      <c r="AI61" s="314">
        <f>-SUM($X$11:AI11)*$D$61/12</f>
        <v>-426250</v>
      </c>
      <c r="AJ61" s="314"/>
      <c r="AK61" s="314"/>
      <c r="AL61" s="314"/>
      <c r="AM61" s="314"/>
      <c r="AN61" s="314"/>
      <c r="AO61" s="314"/>
      <c r="AP61" s="314"/>
      <c r="AQ61" s="314"/>
      <c r="AR61" s="314"/>
      <c r="AS61" s="314"/>
      <c r="AT61" s="314"/>
      <c r="AU61" s="314"/>
      <c r="AV61" s="314"/>
      <c r="AW61" s="314"/>
      <c r="AX61" s="314"/>
      <c r="AY61" s="314"/>
      <c r="AZ61" s="31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14"/>
      <c r="BL61" s="314"/>
      <c r="BM61" s="315"/>
      <c r="BN61" s="315"/>
      <c r="BO61" s="315"/>
      <c r="BP61" s="315"/>
      <c r="BQ61" s="315"/>
      <c r="BR61" s="315"/>
      <c r="BS61" s="315"/>
      <c r="BT61" s="315"/>
      <c r="BU61" s="315"/>
      <c r="BV61" s="315"/>
      <c r="BW61" s="315"/>
      <c r="BX61" s="315"/>
      <c r="BY61" s="316">
        <f t="shared" si="22"/>
        <v>-2447500</v>
      </c>
      <c r="BZ61" s="599"/>
      <c r="CA61" s="268"/>
      <c r="CB61" s="293" t="e">
        <f ca="1">SUM(INDEX(AC61:BX61, , 1):INDEX(AC61:BX61, ,MATCH(CB18, E17:BX17,0) ))</f>
        <v>#N/A</v>
      </c>
      <c r="CC61" s="599"/>
      <c r="CD61" s="268"/>
      <c r="CE61" s="268"/>
      <c r="CF61" s="268"/>
      <c r="CG61" s="268"/>
      <c r="CH61" s="268"/>
      <c r="CI61" s="268"/>
      <c r="CJ61" s="268"/>
      <c r="CK61" s="268"/>
      <c r="CL61" s="268"/>
      <c r="CM61" s="268"/>
      <c r="CN61" s="268"/>
      <c r="CO61" s="268"/>
      <c r="CP61" s="268"/>
      <c r="CQ61" s="268"/>
      <c r="CR61" s="268"/>
      <c r="CS61" s="268"/>
      <c r="CT61" s="268"/>
      <c r="CU61" s="268"/>
      <c r="CV61" s="268"/>
      <c r="CW61" s="268"/>
      <c r="CX61" s="268"/>
      <c r="CY61" s="268"/>
      <c r="CZ61" s="268"/>
      <c r="DA61" s="268"/>
      <c r="DB61" s="268"/>
      <c r="DC61" s="268"/>
      <c r="DD61" s="268"/>
      <c r="DE61" s="268"/>
      <c r="DF61" s="268"/>
      <c r="DG61" s="268"/>
      <c r="DH61" s="268"/>
      <c r="DI61" s="268"/>
      <c r="DJ61" s="268"/>
      <c r="DK61" s="268"/>
      <c r="DL61" s="268"/>
      <c r="DM61" s="268"/>
      <c r="DN61" s="268"/>
      <c r="DO61" s="268"/>
      <c r="DP61" s="268"/>
      <c r="DQ61" s="268"/>
      <c r="DR61" s="268"/>
      <c r="DS61" s="268"/>
      <c r="DT61" s="268"/>
      <c r="DU61" s="268"/>
      <c r="DV61" s="268"/>
      <c r="DW61" s="268"/>
      <c r="DX61" s="268"/>
      <c r="DY61" s="268"/>
      <c r="DZ61" s="268"/>
      <c r="EA61" s="268"/>
      <c r="EB61" s="268"/>
      <c r="EC61" s="268"/>
      <c r="ED61" s="268"/>
      <c r="EE61" s="268"/>
      <c r="EF61" s="268"/>
      <c r="EG61" s="268"/>
      <c r="EH61" s="268"/>
    </row>
    <row r="62" spans="1:138" ht="15.95" collapsed="1">
      <c r="A62" s="474"/>
      <c r="B62" s="609"/>
      <c r="C62" s="289" t="s">
        <v>292</v>
      </c>
      <c r="D62" s="290"/>
      <c r="E62" s="291">
        <f t="shared" ref="E62:BY62" si="23">SUM(E63:E85)</f>
        <v>0</v>
      </c>
      <c r="F62" s="291">
        <f t="shared" si="23"/>
        <v>0</v>
      </c>
      <c r="G62" s="291">
        <f t="shared" si="23"/>
        <v>0</v>
      </c>
      <c r="H62" s="291">
        <f t="shared" si="23"/>
        <v>0</v>
      </c>
      <c r="I62" s="291">
        <f t="shared" si="23"/>
        <v>0</v>
      </c>
      <c r="J62" s="291">
        <f t="shared" si="23"/>
        <v>0</v>
      </c>
      <c r="K62" s="291">
        <f t="shared" si="23"/>
        <v>0</v>
      </c>
      <c r="L62" s="291">
        <f t="shared" si="23"/>
        <v>0</v>
      </c>
      <c r="M62" s="291">
        <f t="shared" si="23"/>
        <v>0</v>
      </c>
      <c r="N62" s="291">
        <f t="shared" si="23"/>
        <v>0</v>
      </c>
      <c r="O62" s="291">
        <f t="shared" si="23"/>
        <v>0</v>
      </c>
      <c r="P62" s="291">
        <f t="shared" si="23"/>
        <v>0</v>
      </c>
      <c r="Q62" s="291">
        <f t="shared" si="23"/>
        <v>0</v>
      </c>
      <c r="R62" s="291">
        <f t="shared" si="23"/>
        <v>0</v>
      </c>
      <c r="S62" s="291">
        <f t="shared" si="23"/>
        <v>0</v>
      </c>
      <c r="T62" s="291">
        <f t="shared" si="23"/>
        <v>0</v>
      </c>
      <c r="U62" s="291">
        <f t="shared" si="23"/>
        <v>0</v>
      </c>
      <c r="V62" s="291">
        <f t="shared" si="23"/>
        <v>0</v>
      </c>
      <c r="W62" s="291">
        <f t="shared" si="23"/>
        <v>0</v>
      </c>
      <c r="X62" s="291">
        <f t="shared" si="23"/>
        <v>0</v>
      </c>
      <c r="Y62" s="291">
        <f t="shared" si="23"/>
        <v>0</v>
      </c>
      <c r="Z62" s="291">
        <f t="shared" si="23"/>
        <v>0</v>
      </c>
      <c r="AA62" s="291">
        <f t="shared" si="23"/>
        <v>0</v>
      </c>
      <c r="AB62" s="291">
        <f t="shared" si="23"/>
        <v>0</v>
      </c>
      <c r="AC62" s="291">
        <f t="shared" si="23"/>
        <v>0</v>
      </c>
      <c r="AD62" s="291">
        <f t="shared" si="23"/>
        <v>0</v>
      </c>
      <c r="AE62" s="291">
        <f t="shared" si="23"/>
        <v>0</v>
      </c>
      <c r="AF62" s="291">
        <f t="shared" si="23"/>
        <v>0</v>
      </c>
      <c r="AG62" s="291">
        <f t="shared" si="23"/>
        <v>0</v>
      </c>
      <c r="AH62" s="291">
        <f t="shared" si="23"/>
        <v>0</v>
      </c>
      <c r="AI62" s="291">
        <f t="shared" si="23"/>
        <v>-125504</v>
      </c>
      <c r="AJ62" s="291">
        <f t="shared" si="23"/>
        <v>0</v>
      </c>
      <c r="AK62" s="291">
        <f t="shared" si="23"/>
        <v>0</v>
      </c>
      <c r="AL62" s="291">
        <f t="shared" si="23"/>
        <v>0</v>
      </c>
      <c r="AM62" s="291">
        <f t="shared" si="23"/>
        <v>0</v>
      </c>
      <c r="AN62" s="291">
        <f t="shared" si="23"/>
        <v>0</v>
      </c>
      <c r="AO62" s="291">
        <f t="shared" si="23"/>
        <v>0</v>
      </c>
      <c r="AP62" s="291">
        <f t="shared" si="23"/>
        <v>0</v>
      </c>
      <c r="AQ62" s="291">
        <f t="shared" si="23"/>
        <v>0</v>
      </c>
      <c r="AR62" s="291">
        <f t="shared" si="23"/>
        <v>0</v>
      </c>
      <c r="AS62" s="291">
        <f t="shared" si="23"/>
        <v>0</v>
      </c>
      <c r="AT62" s="291">
        <f t="shared" si="23"/>
        <v>0</v>
      </c>
      <c r="AU62" s="291">
        <f t="shared" si="23"/>
        <v>0</v>
      </c>
      <c r="AV62" s="291">
        <f t="shared" si="23"/>
        <v>0</v>
      </c>
      <c r="AW62" s="291">
        <f t="shared" si="23"/>
        <v>0</v>
      </c>
      <c r="AX62" s="291">
        <f t="shared" si="23"/>
        <v>0</v>
      </c>
      <c r="AY62" s="291">
        <f t="shared" si="23"/>
        <v>0</v>
      </c>
      <c r="AZ62" s="291">
        <f t="shared" si="23"/>
        <v>0</v>
      </c>
      <c r="BA62" s="291">
        <f t="shared" si="23"/>
        <v>0</v>
      </c>
      <c r="BB62" s="291">
        <f t="shared" si="23"/>
        <v>0</v>
      </c>
      <c r="BC62" s="291">
        <f t="shared" si="23"/>
        <v>0</v>
      </c>
      <c r="BD62" s="291">
        <f t="shared" si="23"/>
        <v>0</v>
      </c>
      <c r="BE62" s="291">
        <f t="shared" si="23"/>
        <v>0</v>
      </c>
      <c r="BF62" s="291">
        <f t="shared" si="23"/>
        <v>0</v>
      </c>
      <c r="BG62" s="291">
        <f t="shared" si="23"/>
        <v>0</v>
      </c>
      <c r="BH62" s="291">
        <f t="shared" si="23"/>
        <v>0</v>
      </c>
      <c r="BI62" s="291">
        <f t="shared" si="23"/>
        <v>0</v>
      </c>
      <c r="BJ62" s="291">
        <f t="shared" si="23"/>
        <v>0</v>
      </c>
      <c r="BK62" s="291">
        <f t="shared" si="23"/>
        <v>0</v>
      </c>
      <c r="BL62" s="291">
        <f t="shared" si="23"/>
        <v>0</v>
      </c>
      <c r="BM62" s="291">
        <f t="shared" si="23"/>
        <v>0</v>
      </c>
      <c r="BN62" s="291">
        <f t="shared" si="23"/>
        <v>0</v>
      </c>
      <c r="BO62" s="291">
        <f t="shared" si="23"/>
        <v>0</v>
      </c>
      <c r="BP62" s="291">
        <f t="shared" si="23"/>
        <v>0</v>
      </c>
      <c r="BQ62" s="291">
        <f t="shared" si="23"/>
        <v>0</v>
      </c>
      <c r="BR62" s="291">
        <f t="shared" si="23"/>
        <v>0</v>
      </c>
      <c r="BS62" s="291">
        <f t="shared" si="23"/>
        <v>0</v>
      </c>
      <c r="BT62" s="291">
        <f t="shared" si="23"/>
        <v>0</v>
      </c>
      <c r="BU62" s="291">
        <f t="shared" si="23"/>
        <v>0</v>
      </c>
      <c r="BV62" s="291">
        <f t="shared" si="23"/>
        <v>0</v>
      </c>
      <c r="BW62" s="291">
        <f t="shared" si="23"/>
        <v>0</v>
      </c>
      <c r="BX62" s="291">
        <f t="shared" si="23"/>
        <v>0</v>
      </c>
      <c r="BY62" s="292">
        <f t="shared" si="23"/>
        <v>-125504</v>
      </c>
      <c r="BZ62" s="599"/>
      <c r="CA62" s="268"/>
      <c r="CB62" s="293" t="e">
        <f t="array" aca="1" ref="CB62" ca="1">SUM(INDEX(E62:BX62, , 1):INDEX(E62:BX62, ,MATCH($CB$4, $E$3:$BX$3,0) ))</f>
        <v>#N/A</v>
      </c>
      <c r="CC62" s="599"/>
      <c r="CD62" s="268"/>
      <c r="CE62" s="268"/>
      <c r="CF62" s="268"/>
      <c r="CG62" s="268"/>
      <c r="CH62" s="268"/>
      <c r="CI62" s="268"/>
      <c r="CJ62" s="268"/>
      <c r="CK62" s="268"/>
      <c r="CL62" s="268"/>
      <c r="CM62" s="268"/>
      <c r="CN62" s="268"/>
      <c r="CO62" s="268"/>
      <c r="CP62" s="268"/>
      <c r="CQ62" s="268"/>
      <c r="CR62" s="268"/>
      <c r="CS62" s="268"/>
      <c r="CT62" s="268"/>
      <c r="CU62" s="268"/>
      <c r="CV62" s="268"/>
      <c r="CW62" s="268"/>
      <c r="CX62" s="268"/>
      <c r="CY62" s="268"/>
      <c r="CZ62" s="268"/>
      <c r="DA62" s="268"/>
      <c r="DB62" s="268"/>
      <c r="DC62" s="268"/>
      <c r="DD62" s="268"/>
      <c r="DE62" s="268"/>
      <c r="DF62" s="268"/>
      <c r="DG62" s="268"/>
      <c r="DH62" s="268"/>
      <c r="DI62" s="268"/>
      <c r="DJ62" s="268"/>
      <c r="DK62" s="268"/>
      <c r="DL62" s="268"/>
      <c r="DM62" s="268"/>
      <c r="DN62" s="268"/>
      <c r="DO62" s="268"/>
      <c r="DP62" s="268"/>
      <c r="DQ62" s="268"/>
      <c r="DR62" s="268"/>
      <c r="DS62" s="268"/>
      <c r="DT62" s="268"/>
      <c r="DU62" s="268"/>
      <c r="DV62" s="268"/>
      <c r="DW62" s="268"/>
      <c r="DX62" s="268"/>
      <c r="DY62" s="268"/>
      <c r="DZ62" s="268"/>
      <c r="EA62" s="268"/>
      <c r="EB62" s="268"/>
      <c r="EC62" s="268"/>
      <c r="ED62" s="268"/>
      <c r="EE62" s="268"/>
      <c r="EF62" s="268"/>
      <c r="EG62" s="268"/>
      <c r="EH62" s="268"/>
    </row>
    <row r="63" spans="1:138" ht="15.95" hidden="1" outlineLevel="1">
      <c r="A63" s="474"/>
      <c r="B63" s="609"/>
      <c r="C63" s="317" t="s">
        <v>293</v>
      </c>
      <c r="D63" s="295" t="s">
        <v>245</v>
      </c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H63" s="318"/>
      <c r="AI63" s="318"/>
      <c r="AJ63" s="318"/>
      <c r="AK63" s="318"/>
      <c r="AL63" s="318"/>
      <c r="AM63" s="318"/>
      <c r="AN63" s="318"/>
      <c r="AO63" s="318"/>
      <c r="AP63" s="318"/>
      <c r="AQ63" s="318"/>
      <c r="AR63" s="318"/>
      <c r="AS63" s="318"/>
      <c r="AT63" s="318"/>
      <c r="AU63" s="318"/>
      <c r="AV63" s="318"/>
      <c r="AW63" s="318"/>
      <c r="AX63" s="318"/>
      <c r="AY63" s="318"/>
      <c r="AZ63" s="318"/>
      <c r="BA63" s="318"/>
      <c r="BB63" s="318"/>
      <c r="BC63" s="318"/>
      <c r="BD63" s="318"/>
      <c r="BE63" s="318"/>
      <c r="BF63" s="318"/>
      <c r="BG63" s="318"/>
      <c r="BH63" s="318"/>
      <c r="BI63" s="318"/>
      <c r="BJ63" s="318"/>
      <c r="BK63" s="318"/>
      <c r="BL63" s="318"/>
      <c r="BM63" s="318"/>
      <c r="BN63" s="318"/>
      <c r="BO63" s="318"/>
      <c r="BP63" s="318"/>
      <c r="BQ63" s="318"/>
      <c r="BR63" s="318"/>
      <c r="BS63" s="318"/>
      <c r="BT63" s="318"/>
      <c r="BU63" s="318"/>
      <c r="BV63" s="318"/>
      <c r="BW63" s="318"/>
      <c r="BX63" s="318"/>
      <c r="BY63" s="319">
        <f t="shared" ref="BY63:BY85" si="24">SUM(E63:BX63)</f>
        <v>0</v>
      </c>
      <c r="BZ63" s="599"/>
      <c r="CA63" s="268"/>
      <c r="CB63" s="293" t="e">
        <f ca="1">SUM(INDEX(AC63:BX63, , 1):INDEX(AC63:BX63, ,MATCH(CB20, E19:BX19,0) ))</f>
        <v>#N/A</v>
      </c>
      <c r="CC63" s="599"/>
      <c r="CD63" s="268"/>
      <c r="CE63" s="268"/>
      <c r="CF63" s="268"/>
      <c r="CG63" s="268"/>
      <c r="CH63" s="268"/>
      <c r="CI63" s="268"/>
      <c r="CJ63" s="268"/>
      <c r="CK63" s="268"/>
      <c r="CL63" s="268"/>
      <c r="CM63" s="268"/>
      <c r="CN63" s="268"/>
      <c r="CO63" s="268"/>
      <c r="CP63" s="268"/>
      <c r="CQ63" s="268"/>
      <c r="CR63" s="268"/>
      <c r="CS63" s="268"/>
      <c r="CT63" s="268"/>
      <c r="CU63" s="268"/>
      <c r="CV63" s="268"/>
      <c r="CW63" s="268"/>
      <c r="CX63" s="268"/>
      <c r="CY63" s="268"/>
      <c r="CZ63" s="268"/>
      <c r="DA63" s="268"/>
      <c r="DB63" s="268"/>
      <c r="DC63" s="268"/>
      <c r="DD63" s="268"/>
      <c r="DE63" s="268"/>
      <c r="DF63" s="268"/>
      <c r="DG63" s="268"/>
      <c r="DH63" s="268"/>
      <c r="DI63" s="268"/>
      <c r="DJ63" s="268"/>
      <c r="DK63" s="268"/>
      <c r="DL63" s="268"/>
      <c r="DM63" s="268"/>
      <c r="DN63" s="268"/>
      <c r="DO63" s="268"/>
      <c r="DP63" s="268"/>
      <c r="DQ63" s="268"/>
      <c r="DR63" s="268"/>
      <c r="DS63" s="268"/>
      <c r="DT63" s="268"/>
      <c r="DU63" s="268"/>
      <c r="DV63" s="268"/>
      <c r="DW63" s="268"/>
      <c r="DX63" s="268"/>
      <c r="DY63" s="268"/>
      <c r="DZ63" s="268"/>
      <c r="EA63" s="268"/>
      <c r="EB63" s="268"/>
      <c r="EC63" s="268"/>
      <c r="ED63" s="268"/>
      <c r="EE63" s="268"/>
      <c r="EF63" s="268"/>
      <c r="EG63" s="268"/>
      <c r="EH63" s="268"/>
    </row>
    <row r="64" spans="1:138" ht="15.95" hidden="1" outlineLevel="1">
      <c r="A64" s="474"/>
      <c r="B64" s="609"/>
      <c r="C64" s="320" t="s">
        <v>294</v>
      </c>
      <c r="D64" s="295" t="s">
        <v>245</v>
      </c>
      <c r="E64" s="318"/>
      <c r="F64" s="318"/>
      <c r="G64" s="318"/>
      <c r="H64" s="318"/>
      <c r="I64" s="318"/>
      <c r="J64" s="318"/>
      <c r="K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H64" s="318"/>
      <c r="AI64" s="318"/>
      <c r="AJ64" s="318"/>
      <c r="AK64" s="318"/>
      <c r="AL64" s="318"/>
      <c r="AM64" s="318"/>
      <c r="AN64" s="318"/>
      <c r="AO64" s="318"/>
      <c r="AP64" s="318"/>
      <c r="AQ64" s="318"/>
      <c r="AR64" s="318"/>
      <c r="AS64" s="318"/>
      <c r="AT64" s="318"/>
      <c r="AU64" s="318"/>
      <c r="AV64" s="318"/>
      <c r="AW64" s="318"/>
      <c r="AX64" s="318"/>
      <c r="AY64" s="318"/>
      <c r="AZ64" s="318"/>
      <c r="BA64" s="318"/>
      <c r="BB64" s="318"/>
      <c r="BC64" s="318"/>
      <c r="BD64" s="318"/>
      <c r="BE64" s="318"/>
      <c r="BF64" s="318"/>
      <c r="BG64" s="318"/>
      <c r="BH64" s="318"/>
      <c r="BI64" s="318"/>
      <c r="BJ64" s="318"/>
      <c r="BK64" s="318"/>
      <c r="BL64" s="318"/>
      <c r="BM64" s="318"/>
      <c r="BN64" s="318"/>
      <c r="BO64" s="318"/>
      <c r="BP64" s="318"/>
      <c r="BQ64" s="318"/>
      <c r="BR64" s="318"/>
      <c r="BS64" s="318"/>
      <c r="BT64" s="318"/>
      <c r="BU64" s="318"/>
      <c r="BV64" s="318"/>
      <c r="BW64" s="318"/>
      <c r="BX64" s="318"/>
      <c r="BY64" s="319">
        <f t="shared" si="24"/>
        <v>0</v>
      </c>
      <c r="BZ64" s="599"/>
      <c r="CA64" s="268"/>
      <c r="CB64" s="293" t="e">
        <f ca="1">SUM(INDEX(AC64:BX64, , 1):INDEX(AC64:BX64, ,MATCH(CB21, E20:BX20,0) ))</f>
        <v>#N/A</v>
      </c>
      <c r="CC64" s="599"/>
      <c r="CD64" s="268"/>
      <c r="CE64" s="268"/>
      <c r="CF64" s="268"/>
      <c r="CG64" s="268"/>
      <c r="CH64" s="268"/>
      <c r="CI64" s="268"/>
      <c r="CJ64" s="268"/>
      <c r="CK64" s="268"/>
      <c r="CL64" s="268"/>
      <c r="CM64" s="268"/>
      <c r="CN64" s="268"/>
      <c r="CO64" s="268"/>
      <c r="CP64" s="268"/>
      <c r="CQ64" s="268"/>
      <c r="CR64" s="268"/>
      <c r="CS64" s="268"/>
      <c r="CT64" s="268"/>
      <c r="CU64" s="268"/>
      <c r="CV64" s="268"/>
      <c r="CW64" s="268"/>
      <c r="CX64" s="268"/>
      <c r="CY64" s="268"/>
      <c r="CZ64" s="268"/>
      <c r="DA64" s="268"/>
      <c r="DB64" s="268"/>
      <c r="DC64" s="268"/>
      <c r="DD64" s="268"/>
      <c r="DE64" s="268"/>
      <c r="DF64" s="268"/>
      <c r="DG64" s="268"/>
      <c r="DH64" s="268"/>
      <c r="DI64" s="268"/>
      <c r="DJ64" s="268"/>
      <c r="DK64" s="268"/>
      <c r="DL64" s="268"/>
      <c r="DM64" s="268"/>
      <c r="DN64" s="268"/>
      <c r="DO64" s="268"/>
      <c r="DP64" s="268"/>
      <c r="DQ64" s="268"/>
      <c r="DR64" s="268"/>
      <c r="DS64" s="268"/>
      <c r="DT64" s="268"/>
      <c r="DU64" s="268"/>
      <c r="DV64" s="268"/>
      <c r="DW64" s="268"/>
      <c r="DX64" s="268"/>
      <c r="DY64" s="268"/>
      <c r="DZ64" s="268"/>
      <c r="EA64" s="268"/>
      <c r="EB64" s="268"/>
      <c r="EC64" s="268"/>
      <c r="ED64" s="268"/>
      <c r="EE64" s="268"/>
      <c r="EF64" s="268"/>
      <c r="EG64" s="268"/>
      <c r="EH64" s="268"/>
    </row>
    <row r="65" spans="1:138" ht="15.95" hidden="1" outlineLevel="1">
      <c r="A65" s="474"/>
      <c r="B65" s="609"/>
      <c r="C65" s="320" t="s">
        <v>295</v>
      </c>
      <c r="D65" s="295" t="s">
        <v>245</v>
      </c>
      <c r="E65" s="318"/>
      <c r="F65" s="318"/>
      <c r="G65" s="318"/>
      <c r="H65" s="318"/>
      <c r="I65" s="318"/>
      <c r="J65" s="318"/>
      <c r="K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H65" s="318"/>
      <c r="AI65" s="318"/>
      <c r="AJ65" s="318"/>
      <c r="AK65" s="318"/>
      <c r="AL65" s="318"/>
      <c r="AM65" s="318"/>
      <c r="AN65" s="318"/>
      <c r="AO65" s="318"/>
      <c r="AP65" s="318"/>
      <c r="AQ65" s="318"/>
      <c r="AR65" s="318"/>
      <c r="AS65" s="318"/>
      <c r="AT65" s="318"/>
      <c r="AU65" s="318"/>
      <c r="AV65" s="318"/>
      <c r="AW65" s="318"/>
      <c r="AX65" s="318"/>
      <c r="AY65" s="318"/>
      <c r="AZ65" s="318"/>
      <c r="BA65" s="318"/>
      <c r="BB65" s="318"/>
      <c r="BC65" s="318"/>
      <c r="BD65" s="318"/>
      <c r="BE65" s="318"/>
      <c r="BF65" s="318"/>
      <c r="BG65" s="318"/>
      <c r="BH65" s="318"/>
      <c r="BI65" s="318"/>
      <c r="BJ65" s="318"/>
      <c r="BK65" s="318"/>
      <c r="BL65" s="318"/>
      <c r="BM65" s="318"/>
      <c r="BN65" s="318"/>
      <c r="BO65" s="318"/>
      <c r="BP65" s="318"/>
      <c r="BQ65" s="318"/>
      <c r="BR65" s="318"/>
      <c r="BS65" s="318"/>
      <c r="BT65" s="318"/>
      <c r="BU65" s="318"/>
      <c r="BV65" s="318"/>
      <c r="BW65" s="318"/>
      <c r="BX65" s="318"/>
      <c r="BY65" s="319">
        <f t="shared" si="24"/>
        <v>0</v>
      </c>
      <c r="BZ65" s="599"/>
      <c r="CA65" s="268"/>
      <c r="CB65" s="293" t="e">
        <f ca="1">SUM(INDEX(AC65:BX65, , 1):INDEX(AC65:BX65, ,MATCH(CB22, E21:BX21,0) ))</f>
        <v>#N/A</v>
      </c>
      <c r="CC65" s="599"/>
      <c r="CD65" s="268"/>
      <c r="CE65" s="268"/>
      <c r="CF65" s="268"/>
      <c r="CG65" s="268"/>
      <c r="CH65" s="268"/>
      <c r="CI65" s="268"/>
      <c r="CJ65" s="268"/>
      <c r="CK65" s="268"/>
      <c r="CL65" s="268"/>
      <c r="CM65" s="268"/>
      <c r="CN65" s="268"/>
      <c r="CO65" s="268"/>
      <c r="CP65" s="268"/>
      <c r="CQ65" s="268"/>
      <c r="CR65" s="268"/>
      <c r="CS65" s="268"/>
      <c r="CT65" s="268"/>
      <c r="CU65" s="268"/>
      <c r="CV65" s="268"/>
      <c r="CW65" s="268"/>
      <c r="CX65" s="268"/>
      <c r="CY65" s="268"/>
      <c r="CZ65" s="268"/>
      <c r="DA65" s="268"/>
      <c r="DB65" s="268"/>
      <c r="DC65" s="268"/>
      <c r="DD65" s="268"/>
      <c r="DE65" s="268"/>
      <c r="DF65" s="268"/>
      <c r="DG65" s="268"/>
      <c r="DH65" s="268"/>
      <c r="DI65" s="268"/>
      <c r="DJ65" s="268"/>
      <c r="DK65" s="268"/>
      <c r="DL65" s="268"/>
      <c r="DM65" s="268"/>
      <c r="DN65" s="268"/>
      <c r="DO65" s="268"/>
      <c r="DP65" s="268"/>
      <c r="DQ65" s="268"/>
      <c r="DR65" s="268"/>
      <c r="DS65" s="268"/>
      <c r="DT65" s="268"/>
      <c r="DU65" s="268"/>
      <c r="DV65" s="268"/>
      <c r="DW65" s="268"/>
      <c r="DX65" s="268"/>
      <c r="DY65" s="268"/>
      <c r="DZ65" s="268"/>
      <c r="EA65" s="268"/>
      <c r="EB65" s="268"/>
      <c r="EC65" s="268"/>
      <c r="ED65" s="268"/>
      <c r="EE65" s="268"/>
      <c r="EF65" s="268"/>
      <c r="EG65" s="268"/>
      <c r="EH65" s="268"/>
    </row>
    <row r="66" spans="1:138" ht="15.95" hidden="1" outlineLevel="1">
      <c r="A66" s="474"/>
      <c r="B66" s="609"/>
      <c r="C66" s="320" t="s">
        <v>296</v>
      </c>
      <c r="D66" s="295" t="s">
        <v>245</v>
      </c>
      <c r="E66" s="318"/>
      <c r="F66" s="318"/>
      <c r="G66" s="318"/>
      <c r="H66" s="318"/>
      <c r="I66" s="318"/>
      <c r="J66" s="318"/>
      <c r="K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H66" s="318"/>
      <c r="AI66" s="318"/>
      <c r="AJ66" s="318"/>
      <c r="AK66" s="318"/>
      <c r="AL66" s="318"/>
      <c r="AM66" s="318"/>
      <c r="AN66" s="318"/>
      <c r="AO66" s="318"/>
      <c r="AP66" s="318"/>
      <c r="AQ66" s="318"/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8"/>
      <c r="BR66" s="318"/>
      <c r="BS66" s="318"/>
      <c r="BT66" s="318"/>
      <c r="BU66" s="318"/>
      <c r="BV66" s="318"/>
      <c r="BW66" s="318"/>
      <c r="BX66" s="318"/>
      <c r="BY66" s="319">
        <f t="shared" si="24"/>
        <v>0</v>
      </c>
      <c r="BZ66" s="599"/>
      <c r="CA66" s="268"/>
      <c r="CB66" s="293" t="e">
        <f t="array" aca="1" ref="CB66" ca="1">SUM(INDEX(AC66:BX66, , 1):INDEX(AC66:BX66, ,MATCH(CB24, E22:BX22,0) ))</f>
        <v>#N/A</v>
      </c>
      <c r="CC66" s="599"/>
      <c r="CD66" s="268"/>
      <c r="CE66" s="268"/>
      <c r="CF66" s="268"/>
      <c r="CG66" s="268"/>
      <c r="CH66" s="268"/>
      <c r="CI66" s="268"/>
      <c r="CJ66" s="268"/>
      <c r="CK66" s="268"/>
      <c r="CL66" s="268"/>
      <c r="CM66" s="268"/>
      <c r="CN66" s="268"/>
      <c r="CO66" s="268"/>
      <c r="CP66" s="268"/>
      <c r="CQ66" s="268"/>
      <c r="CR66" s="268"/>
      <c r="CS66" s="268"/>
      <c r="CT66" s="268"/>
      <c r="CU66" s="268"/>
      <c r="CV66" s="268"/>
      <c r="CW66" s="268"/>
      <c r="CX66" s="268"/>
      <c r="CY66" s="268"/>
      <c r="CZ66" s="268"/>
      <c r="DA66" s="268"/>
      <c r="DB66" s="268"/>
      <c r="DC66" s="268"/>
      <c r="DD66" s="268"/>
      <c r="DE66" s="268"/>
      <c r="DF66" s="268"/>
      <c r="DG66" s="268"/>
      <c r="DH66" s="268"/>
      <c r="DI66" s="268"/>
      <c r="DJ66" s="268"/>
      <c r="DK66" s="268"/>
      <c r="DL66" s="268"/>
      <c r="DM66" s="268"/>
      <c r="DN66" s="268"/>
      <c r="DO66" s="268"/>
      <c r="DP66" s="268"/>
      <c r="DQ66" s="268"/>
      <c r="DR66" s="268"/>
      <c r="DS66" s="268"/>
      <c r="DT66" s="268"/>
      <c r="DU66" s="268"/>
      <c r="DV66" s="268"/>
      <c r="DW66" s="268"/>
      <c r="DX66" s="268"/>
      <c r="DY66" s="268"/>
      <c r="DZ66" s="268"/>
      <c r="EA66" s="268"/>
      <c r="EB66" s="268"/>
      <c r="EC66" s="268"/>
      <c r="ED66" s="268"/>
      <c r="EE66" s="268"/>
      <c r="EF66" s="268"/>
      <c r="EG66" s="268"/>
      <c r="EH66" s="268"/>
    </row>
    <row r="67" spans="1:138" ht="15.95" hidden="1" outlineLevel="1">
      <c r="A67" s="474"/>
      <c r="B67" s="609"/>
      <c r="C67" s="320" t="s">
        <v>297</v>
      </c>
      <c r="D67" s="295" t="s">
        <v>245</v>
      </c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8"/>
      <c r="BR67" s="318"/>
      <c r="BS67" s="318"/>
      <c r="BT67" s="318"/>
      <c r="BU67" s="318"/>
      <c r="BV67" s="318"/>
      <c r="BW67" s="318"/>
      <c r="BX67" s="318"/>
      <c r="BY67" s="319">
        <f t="shared" si="24"/>
        <v>0</v>
      </c>
      <c r="BZ67" s="599"/>
      <c r="CA67" s="268"/>
      <c r="CB67" s="293" t="e">
        <f ca="1">SUM(INDEX(AC67:BX67, , 1):INDEX(AC67:BX67, ,MATCH(CB25, E24:BX24,0) ))</f>
        <v>#N/A</v>
      </c>
      <c r="CC67" s="599"/>
      <c r="CD67" s="268"/>
      <c r="CE67" s="268"/>
      <c r="CF67" s="268"/>
      <c r="CG67" s="268"/>
      <c r="CH67" s="268"/>
      <c r="CI67" s="268"/>
      <c r="CJ67" s="268"/>
      <c r="CK67" s="268"/>
      <c r="CL67" s="268"/>
      <c r="CM67" s="268"/>
      <c r="CN67" s="268"/>
      <c r="CO67" s="268"/>
      <c r="CP67" s="268"/>
      <c r="CQ67" s="268"/>
      <c r="CR67" s="268"/>
      <c r="CS67" s="268"/>
      <c r="CT67" s="268"/>
      <c r="CU67" s="268"/>
      <c r="CV67" s="268"/>
      <c r="CW67" s="268"/>
      <c r="CX67" s="268"/>
      <c r="CY67" s="268"/>
      <c r="CZ67" s="268"/>
      <c r="DA67" s="268"/>
      <c r="DB67" s="268"/>
      <c r="DC67" s="268"/>
      <c r="DD67" s="268"/>
      <c r="DE67" s="268"/>
      <c r="DF67" s="268"/>
      <c r="DG67" s="268"/>
      <c r="DH67" s="268"/>
      <c r="DI67" s="268"/>
      <c r="DJ67" s="268"/>
      <c r="DK67" s="268"/>
      <c r="DL67" s="268"/>
      <c r="DM67" s="268"/>
      <c r="DN67" s="268"/>
      <c r="DO67" s="268"/>
      <c r="DP67" s="268"/>
      <c r="DQ67" s="268"/>
      <c r="DR67" s="268"/>
      <c r="DS67" s="268"/>
      <c r="DT67" s="268"/>
      <c r="DU67" s="268"/>
      <c r="DV67" s="268"/>
      <c r="DW67" s="268"/>
      <c r="DX67" s="268"/>
      <c r="DY67" s="268"/>
      <c r="DZ67" s="268"/>
      <c r="EA67" s="268"/>
      <c r="EB67" s="268"/>
      <c r="EC67" s="268"/>
      <c r="ED67" s="268"/>
      <c r="EE67" s="268"/>
      <c r="EF67" s="268"/>
      <c r="EG67" s="268"/>
      <c r="EH67" s="268"/>
    </row>
    <row r="68" spans="1:138" ht="15.95" hidden="1" outlineLevel="1">
      <c r="A68" s="474"/>
      <c r="B68" s="609"/>
      <c r="C68" s="320" t="s">
        <v>298</v>
      </c>
      <c r="D68" s="295" t="s">
        <v>245</v>
      </c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H68" s="318"/>
      <c r="AI68" s="318"/>
      <c r="AJ68" s="318"/>
      <c r="AK68" s="318"/>
      <c r="AL68" s="318"/>
      <c r="AM68" s="318"/>
      <c r="AN68" s="318"/>
      <c r="AO68" s="318"/>
      <c r="AP68" s="318"/>
      <c r="AQ68" s="318"/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8"/>
      <c r="BR68" s="318"/>
      <c r="BS68" s="318"/>
      <c r="BT68" s="318"/>
      <c r="BU68" s="318"/>
      <c r="BV68" s="318"/>
      <c r="BW68" s="318"/>
      <c r="BX68" s="318"/>
      <c r="BY68" s="319">
        <f t="shared" si="24"/>
        <v>0</v>
      </c>
      <c r="BZ68" s="599"/>
      <c r="CA68" s="268"/>
      <c r="CB68" s="293" t="e">
        <f ca="1">SUM(INDEX(AC68:BX68, , 1):INDEX(AC68:BX68, ,MATCH(CB26, E25:BX25,0) ))</f>
        <v>#REF!</v>
      </c>
      <c r="CC68" s="599"/>
      <c r="CD68" s="268"/>
      <c r="CE68" s="268"/>
      <c r="CF68" s="268"/>
      <c r="CG68" s="268"/>
      <c r="CH68" s="268"/>
      <c r="CI68" s="268"/>
      <c r="CJ68" s="268"/>
      <c r="CK68" s="268"/>
      <c r="CL68" s="268"/>
      <c r="CM68" s="268"/>
      <c r="CN68" s="268"/>
      <c r="CO68" s="268"/>
      <c r="CP68" s="268"/>
      <c r="CQ68" s="268"/>
      <c r="CR68" s="268"/>
      <c r="CS68" s="268"/>
      <c r="CT68" s="268"/>
      <c r="CU68" s="268"/>
      <c r="CV68" s="268"/>
      <c r="CW68" s="268"/>
      <c r="CX68" s="268"/>
      <c r="CY68" s="268"/>
      <c r="CZ68" s="268"/>
      <c r="DA68" s="268"/>
      <c r="DB68" s="268"/>
      <c r="DC68" s="268"/>
      <c r="DD68" s="268"/>
      <c r="DE68" s="268"/>
      <c r="DF68" s="268"/>
      <c r="DG68" s="268"/>
      <c r="DH68" s="268"/>
      <c r="DI68" s="268"/>
      <c r="DJ68" s="268"/>
      <c r="DK68" s="268"/>
      <c r="DL68" s="268"/>
      <c r="DM68" s="268"/>
      <c r="DN68" s="268"/>
      <c r="DO68" s="268"/>
      <c r="DP68" s="268"/>
      <c r="DQ68" s="268"/>
      <c r="DR68" s="268"/>
      <c r="DS68" s="268"/>
      <c r="DT68" s="268"/>
      <c r="DU68" s="268"/>
      <c r="DV68" s="268"/>
      <c r="DW68" s="268"/>
      <c r="DX68" s="268"/>
      <c r="DY68" s="268"/>
      <c r="DZ68" s="268"/>
      <c r="EA68" s="268"/>
      <c r="EB68" s="268"/>
      <c r="EC68" s="268"/>
      <c r="ED68" s="268"/>
      <c r="EE68" s="268"/>
      <c r="EF68" s="268"/>
      <c r="EG68" s="268"/>
      <c r="EH68" s="268"/>
    </row>
    <row r="69" spans="1:138" ht="15.95" hidden="1" outlineLevel="1">
      <c r="A69" s="474"/>
      <c r="B69" s="609"/>
      <c r="C69" s="320" t="s">
        <v>299</v>
      </c>
      <c r="D69" s="295" t="s">
        <v>245</v>
      </c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18"/>
      <c r="AJ69" s="318"/>
      <c r="AK69" s="318"/>
      <c r="AL69" s="318"/>
      <c r="AM69" s="318"/>
      <c r="AN69" s="318"/>
      <c r="AO69" s="318"/>
      <c r="AP69" s="318"/>
      <c r="AQ69" s="318"/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8"/>
      <c r="BR69" s="318"/>
      <c r="BS69" s="318"/>
      <c r="BT69" s="318"/>
      <c r="BU69" s="318"/>
      <c r="BV69" s="318"/>
      <c r="BW69" s="318"/>
      <c r="BX69" s="318"/>
      <c r="BY69" s="319">
        <f t="shared" si="24"/>
        <v>0</v>
      </c>
      <c r="BZ69" s="599"/>
      <c r="CA69" s="268"/>
      <c r="CB69" s="293" t="e">
        <f ca="1">SUM(INDEX(AC69:BX69, , 1):INDEX(AC69:BX69, ,MATCH(CB27, E26:BX26,0) ))</f>
        <v>#REF!</v>
      </c>
      <c r="CC69" s="599"/>
      <c r="CD69" s="268"/>
      <c r="CE69" s="268"/>
      <c r="CF69" s="268"/>
      <c r="CG69" s="268"/>
      <c r="CH69" s="268"/>
      <c r="CI69" s="268"/>
      <c r="CJ69" s="268"/>
      <c r="CK69" s="268"/>
      <c r="CL69" s="268"/>
      <c r="CM69" s="268"/>
      <c r="CN69" s="268"/>
      <c r="CO69" s="268"/>
      <c r="CP69" s="268"/>
      <c r="CQ69" s="268"/>
      <c r="CR69" s="268"/>
      <c r="CS69" s="268"/>
      <c r="CT69" s="268"/>
      <c r="CU69" s="268"/>
      <c r="CV69" s="268"/>
      <c r="CW69" s="268"/>
      <c r="CX69" s="268"/>
      <c r="CY69" s="268"/>
      <c r="CZ69" s="268"/>
      <c r="DA69" s="268"/>
      <c r="DB69" s="268"/>
      <c r="DC69" s="268"/>
      <c r="DD69" s="268"/>
      <c r="DE69" s="268"/>
      <c r="DF69" s="268"/>
      <c r="DG69" s="268"/>
      <c r="DH69" s="268"/>
      <c r="DI69" s="268"/>
      <c r="DJ69" s="268"/>
      <c r="DK69" s="268"/>
      <c r="DL69" s="268"/>
      <c r="DM69" s="268"/>
      <c r="DN69" s="268"/>
      <c r="DO69" s="268"/>
      <c r="DP69" s="268"/>
      <c r="DQ69" s="268"/>
      <c r="DR69" s="268"/>
      <c r="DS69" s="268"/>
      <c r="DT69" s="268"/>
      <c r="DU69" s="268"/>
      <c r="DV69" s="268"/>
      <c r="DW69" s="268"/>
      <c r="DX69" s="268"/>
      <c r="DY69" s="268"/>
      <c r="DZ69" s="268"/>
      <c r="EA69" s="268"/>
      <c r="EB69" s="268"/>
      <c r="EC69" s="268"/>
      <c r="ED69" s="268"/>
      <c r="EE69" s="268"/>
      <c r="EF69" s="268"/>
      <c r="EG69" s="268"/>
      <c r="EH69" s="268"/>
    </row>
    <row r="70" spans="1:138" ht="15.95" hidden="1" outlineLevel="1">
      <c r="A70" s="474"/>
      <c r="B70" s="609"/>
      <c r="C70" s="320" t="s">
        <v>300</v>
      </c>
      <c r="D70" s="295" t="s">
        <v>245</v>
      </c>
      <c r="E70" s="318"/>
      <c r="F70" s="318"/>
      <c r="G70" s="318"/>
      <c r="H70" s="318"/>
      <c r="I70" s="318"/>
      <c r="J70" s="318"/>
      <c r="K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H70" s="318"/>
      <c r="AI70" s="318"/>
      <c r="AJ70" s="318"/>
      <c r="AK70" s="318"/>
      <c r="AL70" s="318"/>
      <c r="AM70" s="318"/>
      <c r="AN70" s="318"/>
      <c r="AO70" s="318"/>
      <c r="AP70" s="318"/>
      <c r="AQ70" s="318"/>
      <c r="AR70" s="318"/>
      <c r="AS70" s="318"/>
      <c r="AT70" s="318"/>
      <c r="AU70" s="318"/>
      <c r="AV70" s="318"/>
      <c r="AW70" s="318"/>
      <c r="AX70" s="318"/>
      <c r="AY70" s="318"/>
      <c r="AZ70" s="318"/>
      <c r="BA70" s="318"/>
      <c r="BB70" s="318"/>
      <c r="BC70" s="318"/>
      <c r="BD70" s="318"/>
      <c r="BE70" s="318"/>
      <c r="BF70" s="318"/>
      <c r="BG70" s="318"/>
      <c r="BH70" s="318"/>
      <c r="BI70" s="318"/>
      <c r="BJ70" s="318"/>
      <c r="BK70" s="318"/>
      <c r="BL70" s="318"/>
      <c r="BM70" s="318"/>
      <c r="BN70" s="318"/>
      <c r="BO70" s="318"/>
      <c r="BP70" s="318"/>
      <c r="BQ70" s="318"/>
      <c r="BR70" s="318"/>
      <c r="BS70" s="318"/>
      <c r="BT70" s="318"/>
      <c r="BU70" s="318"/>
      <c r="BV70" s="318"/>
      <c r="BW70" s="318"/>
      <c r="BX70" s="318"/>
      <c r="BY70" s="319">
        <f t="shared" si="24"/>
        <v>0</v>
      </c>
      <c r="BZ70" s="599"/>
      <c r="CA70" s="268"/>
      <c r="CB70" s="293" t="e">
        <f ca="1">SUM(INDEX(AC70:BX70, , 1):INDEX(AC70:BX70, ,MATCH(CB28, E27:BX27,0) ))</f>
        <v>#N/A</v>
      </c>
      <c r="CC70" s="599"/>
      <c r="CD70" s="268"/>
      <c r="CE70" s="268"/>
      <c r="CF70" s="268"/>
      <c r="CG70" s="268"/>
      <c r="CH70" s="268"/>
      <c r="CI70" s="268"/>
      <c r="CJ70" s="268"/>
      <c r="CK70" s="268"/>
      <c r="CL70" s="268"/>
      <c r="CM70" s="268"/>
      <c r="CN70" s="268"/>
      <c r="CO70" s="268"/>
      <c r="CP70" s="268"/>
      <c r="CQ70" s="268"/>
      <c r="CR70" s="268"/>
      <c r="CS70" s="268"/>
      <c r="CT70" s="268"/>
      <c r="CU70" s="268"/>
      <c r="CV70" s="268"/>
      <c r="CW70" s="268"/>
      <c r="CX70" s="268"/>
      <c r="CY70" s="268"/>
      <c r="CZ70" s="268"/>
      <c r="DA70" s="268"/>
      <c r="DB70" s="268"/>
      <c r="DC70" s="268"/>
      <c r="DD70" s="268"/>
      <c r="DE70" s="268"/>
      <c r="DF70" s="268"/>
      <c r="DG70" s="268"/>
      <c r="DH70" s="268"/>
      <c r="DI70" s="268"/>
      <c r="DJ70" s="268"/>
      <c r="DK70" s="268"/>
      <c r="DL70" s="268"/>
      <c r="DM70" s="268"/>
      <c r="DN70" s="268"/>
      <c r="DO70" s="268"/>
      <c r="DP70" s="268"/>
      <c r="DQ70" s="268"/>
      <c r="DR70" s="268"/>
      <c r="DS70" s="268"/>
      <c r="DT70" s="268"/>
      <c r="DU70" s="268"/>
      <c r="DV70" s="268"/>
      <c r="DW70" s="268"/>
      <c r="DX70" s="268"/>
      <c r="DY70" s="268"/>
      <c r="DZ70" s="268"/>
      <c r="EA70" s="268"/>
      <c r="EB70" s="268"/>
      <c r="EC70" s="268"/>
      <c r="ED70" s="268"/>
      <c r="EE70" s="268"/>
      <c r="EF70" s="268"/>
      <c r="EG70" s="268"/>
      <c r="EH70" s="268"/>
    </row>
    <row r="71" spans="1:138" ht="15.95" hidden="1" outlineLevel="1">
      <c r="A71" s="474"/>
      <c r="B71" s="609"/>
      <c r="C71" s="320" t="s">
        <v>301</v>
      </c>
      <c r="D71" s="295" t="s">
        <v>245</v>
      </c>
      <c r="E71" s="318"/>
      <c r="F71" s="318"/>
      <c r="G71" s="318"/>
      <c r="H71" s="318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T71" s="318"/>
      <c r="U71" s="318"/>
      <c r="V71" s="318"/>
      <c r="W71" s="318"/>
      <c r="X71" s="318"/>
      <c r="Y71" s="318"/>
      <c r="Z71" s="318"/>
      <c r="AA71" s="318"/>
      <c r="AB71" s="318"/>
      <c r="AC71" s="318"/>
      <c r="AD71" s="318"/>
      <c r="AE71" s="318"/>
      <c r="AF71" s="318"/>
      <c r="AG71" s="318"/>
      <c r="AH71" s="318"/>
      <c r="AI71" s="318"/>
      <c r="AJ71" s="318"/>
      <c r="AK71" s="318"/>
      <c r="AL71" s="318"/>
      <c r="AM71" s="318"/>
      <c r="AN71" s="318"/>
      <c r="AO71" s="318"/>
      <c r="AP71" s="318"/>
      <c r="AQ71" s="318"/>
      <c r="AR71" s="318"/>
      <c r="AS71" s="318"/>
      <c r="AT71" s="318"/>
      <c r="AU71" s="318"/>
      <c r="AV71" s="318"/>
      <c r="AW71" s="318"/>
      <c r="AX71" s="318"/>
      <c r="AY71" s="318"/>
      <c r="AZ71" s="318"/>
      <c r="BA71" s="318"/>
      <c r="BB71" s="318"/>
      <c r="BC71" s="318"/>
      <c r="BD71" s="318"/>
      <c r="BE71" s="318"/>
      <c r="BF71" s="318"/>
      <c r="BG71" s="318"/>
      <c r="BH71" s="318"/>
      <c r="BI71" s="318"/>
      <c r="BJ71" s="318"/>
      <c r="BK71" s="318"/>
      <c r="BL71" s="318"/>
      <c r="BM71" s="318"/>
      <c r="BN71" s="318"/>
      <c r="BO71" s="318"/>
      <c r="BP71" s="318"/>
      <c r="BQ71" s="318"/>
      <c r="BR71" s="318"/>
      <c r="BS71" s="318"/>
      <c r="BT71" s="318"/>
      <c r="BU71" s="318"/>
      <c r="BV71" s="318"/>
      <c r="BW71" s="318"/>
      <c r="BX71" s="318"/>
      <c r="BY71" s="319">
        <f t="shared" si="24"/>
        <v>0</v>
      </c>
      <c r="BZ71" s="599"/>
      <c r="CA71" s="268"/>
      <c r="CB71" s="293" t="e">
        <f ca="1">SUM(INDEX(AC71:BX71, , 1):INDEX(AC71:BX71, ,MATCH(CB29, E28:BX28,0) ))</f>
        <v>#REF!</v>
      </c>
      <c r="CC71" s="599"/>
      <c r="CD71" s="268"/>
      <c r="CE71" s="268"/>
      <c r="CF71" s="268"/>
      <c r="CG71" s="268"/>
      <c r="CH71" s="268"/>
      <c r="CI71" s="268"/>
      <c r="CJ71" s="268"/>
      <c r="CK71" s="268"/>
      <c r="CL71" s="268"/>
      <c r="CM71" s="268"/>
      <c r="CN71" s="268"/>
      <c r="CO71" s="268"/>
      <c r="CP71" s="268"/>
      <c r="CQ71" s="268"/>
      <c r="CR71" s="268"/>
      <c r="CS71" s="268"/>
      <c r="CT71" s="268"/>
      <c r="CU71" s="268"/>
      <c r="CV71" s="268"/>
      <c r="CW71" s="268"/>
      <c r="CX71" s="268"/>
      <c r="CY71" s="268"/>
      <c r="CZ71" s="268"/>
      <c r="DA71" s="268"/>
      <c r="DB71" s="268"/>
      <c r="DC71" s="268"/>
      <c r="DD71" s="268"/>
      <c r="DE71" s="268"/>
      <c r="DF71" s="268"/>
      <c r="DG71" s="268"/>
      <c r="DH71" s="268"/>
      <c r="DI71" s="268"/>
      <c r="DJ71" s="268"/>
      <c r="DK71" s="268"/>
      <c r="DL71" s="268"/>
      <c r="DM71" s="268"/>
      <c r="DN71" s="268"/>
      <c r="DO71" s="268"/>
      <c r="DP71" s="268"/>
      <c r="DQ71" s="268"/>
      <c r="DR71" s="268"/>
      <c r="DS71" s="268"/>
      <c r="DT71" s="268"/>
      <c r="DU71" s="268"/>
      <c r="DV71" s="268"/>
      <c r="DW71" s="268"/>
      <c r="DX71" s="268"/>
      <c r="DY71" s="268"/>
      <c r="DZ71" s="268"/>
      <c r="EA71" s="268"/>
      <c r="EB71" s="268"/>
      <c r="EC71" s="268"/>
      <c r="ED71" s="268"/>
      <c r="EE71" s="268"/>
      <c r="EF71" s="268"/>
      <c r="EG71" s="268"/>
      <c r="EH71" s="268"/>
    </row>
    <row r="72" spans="1:138" ht="15.95" hidden="1" outlineLevel="1">
      <c r="A72" s="474"/>
      <c r="B72" s="609"/>
      <c r="C72" s="320" t="s">
        <v>302</v>
      </c>
      <c r="D72" s="295" t="s">
        <v>245</v>
      </c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  <c r="AE72" s="318"/>
      <c r="AF72" s="318"/>
      <c r="AG72" s="318"/>
      <c r="AH72" s="318"/>
      <c r="AI72" s="318"/>
      <c r="AJ72" s="318"/>
      <c r="AK72" s="318"/>
      <c r="AL72" s="318"/>
      <c r="AM72" s="318"/>
      <c r="AN72" s="318"/>
      <c r="AO72" s="318"/>
      <c r="AP72" s="318"/>
      <c r="AQ72" s="318"/>
      <c r="AR72" s="318"/>
      <c r="AS72" s="318"/>
      <c r="AT72" s="318"/>
      <c r="AU72" s="318"/>
      <c r="AV72" s="318"/>
      <c r="AW72" s="318"/>
      <c r="AX72" s="318"/>
      <c r="AY72" s="318"/>
      <c r="AZ72" s="318"/>
      <c r="BA72" s="318"/>
      <c r="BB72" s="318"/>
      <c r="BC72" s="318"/>
      <c r="BD72" s="318"/>
      <c r="BE72" s="318"/>
      <c r="BF72" s="318"/>
      <c r="BG72" s="318"/>
      <c r="BH72" s="318"/>
      <c r="BI72" s="318"/>
      <c r="BJ72" s="318"/>
      <c r="BK72" s="318"/>
      <c r="BL72" s="318"/>
      <c r="BM72" s="318"/>
      <c r="BN72" s="318"/>
      <c r="BO72" s="318"/>
      <c r="BP72" s="318"/>
      <c r="BQ72" s="318"/>
      <c r="BR72" s="318"/>
      <c r="BS72" s="318"/>
      <c r="BT72" s="318"/>
      <c r="BU72" s="318"/>
      <c r="BV72" s="318"/>
      <c r="BW72" s="318"/>
      <c r="BX72" s="318"/>
      <c r="BY72" s="319">
        <f t="shared" si="24"/>
        <v>0</v>
      </c>
      <c r="BZ72" s="599"/>
      <c r="CA72" s="268"/>
      <c r="CB72" s="293" t="e">
        <f ca="1">SUM(INDEX(AC72:BX72, , 1):INDEX(AC72:BX72, ,MATCH(CB30, E29:BX29,0) ))</f>
        <v>#REF!</v>
      </c>
      <c r="CC72" s="599"/>
      <c r="CD72" s="268"/>
      <c r="CE72" s="268"/>
      <c r="CF72" s="268"/>
      <c r="CG72" s="268"/>
      <c r="CH72" s="268"/>
      <c r="CI72" s="268"/>
      <c r="CJ72" s="268"/>
      <c r="CK72" s="268"/>
      <c r="CL72" s="268"/>
      <c r="CM72" s="268"/>
      <c r="CN72" s="268"/>
      <c r="CO72" s="268"/>
      <c r="CP72" s="268"/>
      <c r="CQ72" s="268"/>
      <c r="CR72" s="268"/>
      <c r="CS72" s="268"/>
      <c r="CT72" s="268"/>
      <c r="CU72" s="268"/>
      <c r="CV72" s="268"/>
      <c r="CW72" s="268"/>
      <c r="CX72" s="268"/>
      <c r="CY72" s="268"/>
      <c r="CZ72" s="268"/>
      <c r="DA72" s="268"/>
      <c r="DB72" s="268"/>
      <c r="DC72" s="268"/>
      <c r="DD72" s="268"/>
      <c r="DE72" s="268"/>
      <c r="DF72" s="268"/>
      <c r="DG72" s="268"/>
      <c r="DH72" s="268"/>
      <c r="DI72" s="268"/>
      <c r="DJ72" s="268"/>
      <c r="DK72" s="268"/>
      <c r="DL72" s="268"/>
      <c r="DM72" s="268"/>
      <c r="DN72" s="268"/>
      <c r="DO72" s="268"/>
      <c r="DP72" s="268"/>
      <c r="DQ72" s="268"/>
      <c r="DR72" s="268"/>
      <c r="DS72" s="268"/>
      <c r="DT72" s="268"/>
      <c r="DU72" s="268"/>
      <c r="DV72" s="268"/>
      <c r="DW72" s="268"/>
      <c r="DX72" s="268"/>
      <c r="DY72" s="268"/>
      <c r="DZ72" s="268"/>
      <c r="EA72" s="268"/>
      <c r="EB72" s="268"/>
      <c r="EC72" s="268"/>
      <c r="ED72" s="268"/>
      <c r="EE72" s="268"/>
      <c r="EF72" s="268"/>
      <c r="EG72" s="268"/>
      <c r="EH72" s="268"/>
    </row>
    <row r="73" spans="1:138" ht="15.95" hidden="1" outlineLevel="1">
      <c r="A73" s="474"/>
      <c r="B73" s="609"/>
      <c r="C73" s="320" t="s">
        <v>303</v>
      </c>
      <c r="D73" s="295" t="s">
        <v>245</v>
      </c>
      <c r="E73" s="318"/>
      <c r="F73" s="318"/>
      <c r="G73" s="318"/>
      <c r="H73" s="318"/>
      <c r="I73" s="318"/>
      <c r="J73" s="318"/>
      <c r="K73" s="318"/>
      <c r="L73" s="318"/>
      <c r="M73" s="318"/>
      <c r="N73" s="318"/>
      <c r="O73" s="318"/>
      <c r="P73" s="318"/>
      <c r="Q73" s="318"/>
      <c r="R73" s="318"/>
      <c r="S73" s="318"/>
      <c r="T73" s="318"/>
      <c r="U73" s="318"/>
      <c r="V73" s="318"/>
      <c r="W73" s="318"/>
      <c r="X73" s="318"/>
      <c r="Y73" s="318"/>
      <c r="Z73" s="318"/>
      <c r="AA73" s="318"/>
      <c r="AB73" s="318"/>
      <c r="AC73" s="318"/>
      <c r="AD73" s="318"/>
      <c r="AE73" s="318"/>
      <c r="AF73" s="318"/>
      <c r="AG73" s="318"/>
      <c r="AH73" s="318"/>
      <c r="AI73" s="318"/>
      <c r="AJ73" s="318"/>
      <c r="AK73" s="318"/>
      <c r="AL73" s="318"/>
      <c r="AM73" s="318"/>
      <c r="AN73" s="318"/>
      <c r="AO73" s="318"/>
      <c r="AP73" s="318"/>
      <c r="AQ73" s="318"/>
      <c r="AR73" s="318"/>
      <c r="AS73" s="318"/>
      <c r="AT73" s="318"/>
      <c r="AU73" s="318"/>
      <c r="AV73" s="318"/>
      <c r="AW73" s="318"/>
      <c r="AX73" s="318"/>
      <c r="AY73" s="318"/>
      <c r="AZ73" s="318"/>
      <c r="BA73" s="318"/>
      <c r="BB73" s="318"/>
      <c r="BC73" s="318"/>
      <c r="BD73" s="318"/>
      <c r="BE73" s="318"/>
      <c r="BF73" s="318"/>
      <c r="BG73" s="318"/>
      <c r="BH73" s="318"/>
      <c r="BI73" s="318"/>
      <c r="BJ73" s="318"/>
      <c r="BK73" s="318"/>
      <c r="BL73" s="318"/>
      <c r="BM73" s="318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9">
        <f t="shared" si="24"/>
        <v>0</v>
      </c>
      <c r="BZ73" s="599"/>
      <c r="CA73" s="268"/>
      <c r="CB73" s="293" t="e">
        <f ca="1">SUM(INDEX(AC73:BX73, , 1):INDEX(AC73:BX73, ,MATCH(CB31, E30:BX30,0) ))</f>
        <v>#REF!</v>
      </c>
      <c r="CC73" s="599"/>
      <c r="CD73" s="268"/>
      <c r="CE73" s="268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  <c r="CP73" s="268"/>
      <c r="CQ73" s="268"/>
      <c r="CR73" s="268"/>
      <c r="CS73" s="268"/>
      <c r="CT73" s="268"/>
      <c r="CU73" s="268"/>
      <c r="CV73" s="268"/>
      <c r="CW73" s="268"/>
      <c r="CX73" s="268"/>
      <c r="CY73" s="268"/>
      <c r="CZ73" s="268"/>
      <c r="DA73" s="268"/>
      <c r="DB73" s="268"/>
      <c r="DC73" s="268"/>
      <c r="DD73" s="268"/>
      <c r="DE73" s="268"/>
      <c r="DF73" s="268"/>
      <c r="DG73" s="268"/>
      <c r="DH73" s="268"/>
      <c r="DI73" s="268"/>
      <c r="DJ73" s="268"/>
      <c r="DK73" s="268"/>
      <c r="DL73" s="268"/>
      <c r="DM73" s="268"/>
      <c r="DN73" s="268"/>
      <c r="DO73" s="268"/>
      <c r="DP73" s="268"/>
      <c r="DQ73" s="268"/>
      <c r="DR73" s="268"/>
      <c r="DS73" s="268"/>
      <c r="DT73" s="268"/>
      <c r="DU73" s="268"/>
      <c r="DV73" s="268"/>
      <c r="DW73" s="268"/>
      <c r="DX73" s="268"/>
      <c r="DY73" s="268"/>
      <c r="DZ73" s="268"/>
      <c r="EA73" s="268"/>
      <c r="EB73" s="268"/>
      <c r="EC73" s="268"/>
      <c r="ED73" s="268"/>
      <c r="EE73" s="268"/>
      <c r="EF73" s="268"/>
      <c r="EG73" s="268"/>
      <c r="EH73" s="268"/>
    </row>
    <row r="74" spans="1:138" ht="15.95" hidden="1" outlineLevel="1">
      <c r="A74" s="474"/>
      <c r="B74" s="609"/>
      <c r="C74" s="320" t="s">
        <v>304</v>
      </c>
      <c r="D74" s="295" t="s">
        <v>245</v>
      </c>
      <c r="E74" s="318"/>
      <c r="F74" s="318"/>
      <c r="G74" s="318"/>
      <c r="H74" s="318"/>
      <c r="I74" s="318"/>
      <c r="J74" s="318"/>
      <c r="K74" s="318"/>
      <c r="L74" s="318"/>
      <c r="M74" s="318"/>
      <c r="N74" s="318"/>
      <c r="O74" s="318"/>
      <c r="P74" s="318"/>
      <c r="Q74" s="318"/>
      <c r="R74" s="318"/>
      <c r="S74" s="318"/>
      <c r="T74" s="318"/>
      <c r="U74" s="318"/>
      <c r="V74" s="318"/>
      <c r="W74" s="318"/>
      <c r="X74" s="318"/>
      <c r="Y74" s="318"/>
      <c r="Z74" s="318"/>
      <c r="AA74" s="318"/>
      <c r="AB74" s="318"/>
      <c r="AC74" s="318"/>
      <c r="AD74" s="318"/>
      <c r="AE74" s="318"/>
      <c r="AF74" s="318"/>
      <c r="AG74" s="318"/>
      <c r="AH74" s="318"/>
      <c r="AI74" s="318"/>
      <c r="AJ74" s="318"/>
      <c r="AK74" s="318"/>
      <c r="AL74" s="318"/>
      <c r="AM74" s="318"/>
      <c r="AN74" s="318"/>
      <c r="AO74" s="318"/>
      <c r="AP74" s="318"/>
      <c r="AQ74" s="318"/>
      <c r="AR74" s="318"/>
      <c r="AS74" s="318"/>
      <c r="AT74" s="318"/>
      <c r="AU74" s="318"/>
      <c r="AV74" s="318"/>
      <c r="AW74" s="318"/>
      <c r="AX74" s="318"/>
      <c r="AY74" s="318"/>
      <c r="AZ74" s="318"/>
      <c r="BA74" s="318"/>
      <c r="BB74" s="318"/>
      <c r="BC74" s="318"/>
      <c r="BD74" s="318"/>
      <c r="BE74" s="318"/>
      <c r="BF74" s="318"/>
      <c r="BG74" s="318"/>
      <c r="BH74" s="318"/>
      <c r="BI74" s="318"/>
      <c r="BJ74" s="318"/>
      <c r="BK74" s="318"/>
      <c r="BL74" s="318"/>
      <c r="BM74" s="318"/>
      <c r="BN74" s="318"/>
      <c r="BO74" s="318"/>
      <c r="BP74" s="318"/>
      <c r="BQ74" s="318"/>
      <c r="BR74" s="318"/>
      <c r="BS74" s="318"/>
      <c r="BT74" s="318"/>
      <c r="BU74" s="318"/>
      <c r="BV74" s="318"/>
      <c r="BW74" s="318"/>
      <c r="BX74" s="318"/>
      <c r="BY74" s="319">
        <f t="shared" si="24"/>
        <v>0</v>
      </c>
      <c r="BZ74" s="599"/>
      <c r="CA74" s="268"/>
      <c r="CB74" s="293" t="e">
        <f ca="1">SUM(INDEX(AC74:BX74, , 1):INDEX(AC74:BX74, ,MATCH(CB32, E31:BX31,0) ))</f>
        <v>#REF!</v>
      </c>
      <c r="CC74" s="599"/>
      <c r="CD74" s="268"/>
      <c r="CE74" s="268"/>
      <c r="CF74" s="268"/>
      <c r="CG74" s="268"/>
      <c r="CH74" s="268"/>
      <c r="CI74" s="268"/>
      <c r="CJ74" s="268"/>
      <c r="CK74" s="268"/>
      <c r="CL74" s="268"/>
      <c r="CM74" s="268"/>
      <c r="CN74" s="268"/>
      <c r="CO74" s="268"/>
      <c r="CP74" s="268"/>
      <c r="CQ74" s="268"/>
      <c r="CR74" s="268"/>
      <c r="CS74" s="268"/>
      <c r="CT74" s="268"/>
      <c r="CU74" s="268"/>
      <c r="CV74" s="268"/>
      <c r="CW74" s="268"/>
      <c r="CX74" s="268"/>
      <c r="CY74" s="268"/>
      <c r="CZ74" s="268"/>
      <c r="DA74" s="268"/>
      <c r="DB74" s="268"/>
      <c r="DC74" s="268"/>
      <c r="DD74" s="268"/>
      <c r="DE74" s="268"/>
      <c r="DF74" s="268"/>
      <c r="DG74" s="268"/>
      <c r="DH74" s="268"/>
      <c r="DI74" s="268"/>
      <c r="DJ74" s="268"/>
      <c r="DK74" s="268"/>
      <c r="DL74" s="268"/>
      <c r="DM74" s="268"/>
      <c r="DN74" s="268"/>
      <c r="DO74" s="268"/>
      <c r="DP74" s="268"/>
      <c r="DQ74" s="268"/>
      <c r="DR74" s="268"/>
      <c r="DS74" s="268"/>
      <c r="DT74" s="268"/>
      <c r="DU74" s="268"/>
      <c r="DV74" s="268"/>
      <c r="DW74" s="268"/>
      <c r="DX74" s="268"/>
      <c r="DY74" s="268"/>
      <c r="DZ74" s="268"/>
      <c r="EA74" s="268"/>
      <c r="EB74" s="268"/>
      <c r="EC74" s="268"/>
      <c r="ED74" s="268"/>
      <c r="EE74" s="268"/>
      <c r="EF74" s="268"/>
      <c r="EG74" s="268"/>
      <c r="EH74" s="268"/>
    </row>
    <row r="75" spans="1:138" ht="15.95" hidden="1" outlineLevel="1">
      <c r="A75" s="474"/>
      <c r="B75" s="609"/>
      <c r="C75" s="320" t="s">
        <v>305</v>
      </c>
      <c r="D75" s="295" t="s">
        <v>245</v>
      </c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  <c r="AD75" s="318"/>
      <c r="AE75" s="318"/>
      <c r="AF75" s="318"/>
      <c r="AG75" s="318"/>
      <c r="AH75" s="318"/>
      <c r="AI75" s="318"/>
      <c r="AJ75" s="318"/>
      <c r="AK75" s="318"/>
      <c r="AL75" s="318"/>
      <c r="AM75" s="318"/>
      <c r="AN75" s="318"/>
      <c r="AO75" s="318"/>
      <c r="AP75" s="318"/>
      <c r="AQ75" s="318"/>
      <c r="AR75" s="318"/>
      <c r="AS75" s="318"/>
      <c r="AT75" s="318"/>
      <c r="AU75" s="318"/>
      <c r="AV75" s="318"/>
      <c r="AW75" s="318"/>
      <c r="AX75" s="318"/>
      <c r="AY75" s="318"/>
      <c r="AZ75" s="318"/>
      <c r="BA75" s="318"/>
      <c r="BB75" s="318"/>
      <c r="BC75" s="318"/>
      <c r="BD75" s="318"/>
      <c r="BE75" s="318"/>
      <c r="BF75" s="318"/>
      <c r="BG75" s="318"/>
      <c r="BH75" s="318"/>
      <c r="BI75" s="318"/>
      <c r="BJ75" s="318"/>
      <c r="BK75" s="318"/>
      <c r="BL75" s="318"/>
      <c r="BM75" s="318"/>
      <c r="BN75" s="318"/>
      <c r="BO75" s="318"/>
      <c r="BP75" s="318"/>
      <c r="BQ75" s="318"/>
      <c r="BR75" s="318"/>
      <c r="BS75" s="318"/>
      <c r="BT75" s="318"/>
      <c r="BU75" s="318"/>
      <c r="BV75" s="318"/>
      <c r="BW75" s="318"/>
      <c r="BX75" s="318"/>
      <c r="BY75" s="319">
        <f t="shared" si="24"/>
        <v>0</v>
      </c>
      <c r="BZ75" s="599"/>
      <c r="CA75" s="268"/>
      <c r="CB75" s="293" t="e">
        <f ca="1">SUM(INDEX(AC75:BX75, , 1):INDEX(AC75:BX75, ,MATCH(CB33, E32:BX32,0) ))</f>
        <v>#REF!</v>
      </c>
      <c r="CC75" s="599"/>
      <c r="CD75" s="268"/>
      <c r="CE75" s="268"/>
      <c r="CF75" s="268"/>
      <c r="CG75" s="268"/>
      <c r="CH75" s="268"/>
      <c r="CI75" s="268"/>
      <c r="CJ75" s="268"/>
      <c r="CK75" s="268"/>
      <c r="CL75" s="268"/>
      <c r="CM75" s="268"/>
      <c r="CN75" s="268"/>
      <c r="CO75" s="268"/>
      <c r="CP75" s="268"/>
      <c r="CQ75" s="268"/>
      <c r="CR75" s="268"/>
      <c r="CS75" s="268"/>
      <c r="CT75" s="268"/>
      <c r="CU75" s="268"/>
      <c r="CV75" s="268"/>
      <c r="CW75" s="268"/>
      <c r="CX75" s="268"/>
      <c r="CY75" s="268"/>
      <c r="CZ75" s="268"/>
      <c r="DA75" s="268"/>
      <c r="DB75" s="268"/>
      <c r="DC75" s="268"/>
      <c r="DD75" s="268"/>
      <c r="DE75" s="268"/>
      <c r="DF75" s="268"/>
      <c r="DG75" s="268"/>
      <c r="DH75" s="268"/>
      <c r="DI75" s="268"/>
      <c r="DJ75" s="268"/>
      <c r="DK75" s="268"/>
      <c r="DL75" s="268"/>
      <c r="DM75" s="268"/>
      <c r="DN75" s="268"/>
      <c r="DO75" s="268"/>
      <c r="DP75" s="268"/>
      <c r="DQ75" s="268"/>
      <c r="DR75" s="268"/>
      <c r="DS75" s="268"/>
      <c r="DT75" s="268"/>
      <c r="DU75" s="268"/>
      <c r="DV75" s="268"/>
      <c r="DW75" s="268"/>
      <c r="DX75" s="268"/>
      <c r="DY75" s="268"/>
      <c r="DZ75" s="268"/>
      <c r="EA75" s="268"/>
      <c r="EB75" s="268"/>
      <c r="EC75" s="268"/>
      <c r="ED75" s="268"/>
      <c r="EE75" s="268"/>
      <c r="EF75" s="268"/>
      <c r="EG75" s="268"/>
      <c r="EH75" s="268"/>
    </row>
    <row r="76" spans="1:138" ht="15.95" hidden="1" outlineLevel="1">
      <c r="A76" s="474"/>
      <c r="B76" s="609"/>
      <c r="C76" s="320" t="s">
        <v>306</v>
      </c>
      <c r="D76" s="295" t="s">
        <v>245</v>
      </c>
      <c r="E76" s="318"/>
      <c r="F76" s="318"/>
      <c r="G76" s="318"/>
      <c r="H76" s="318"/>
      <c r="I76" s="318"/>
      <c r="J76" s="318"/>
      <c r="K76" s="318"/>
      <c r="L76" s="318"/>
      <c r="M76" s="318"/>
      <c r="N76" s="318"/>
      <c r="O76" s="318"/>
      <c r="P76" s="318"/>
      <c r="Q76" s="318"/>
      <c r="R76" s="318"/>
      <c r="S76" s="318"/>
      <c r="T76" s="318"/>
      <c r="U76" s="318"/>
      <c r="V76" s="318"/>
      <c r="W76" s="318"/>
      <c r="X76" s="318"/>
      <c r="Y76" s="318"/>
      <c r="Z76" s="318"/>
      <c r="AA76" s="318"/>
      <c r="AB76" s="318"/>
      <c r="AC76" s="318"/>
      <c r="AD76" s="318"/>
      <c r="AE76" s="318"/>
      <c r="AF76" s="318"/>
      <c r="AG76" s="318"/>
      <c r="AH76" s="318"/>
      <c r="AI76" s="318"/>
      <c r="AJ76" s="318"/>
      <c r="AK76" s="318"/>
      <c r="AL76" s="318"/>
      <c r="AM76" s="318"/>
      <c r="AN76" s="318"/>
      <c r="AO76" s="318"/>
      <c r="AP76" s="318"/>
      <c r="AQ76" s="318"/>
      <c r="AR76" s="318"/>
      <c r="AS76" s="318"/>
      <c r="AT76" s="318"/>
      <c r="AU76" s="318"/>
      <c r="AV76" s="318"/>
      <c r="AW76" s="318"/>
      <c r="AX76" s="318"/>
      <c r="AY76" s="318"/>
      <c r="AZ76" s="318"/>
      <c r="BA76" s="318"/>
      <c r="BB76" s="318"/>
      <c r="BC76" s="318"/>
      <c r="BD76" s="318"/>
      <c r="BE76" s="318"/>
      <c r="BF76" s="318"/>
      <c r="BG76" s="318"/>
      <c r="BH76" s="318"/>
      <c r="BI76" s="318"/>
      <c r="BJ76" s="318"/>
      <c r="BK76" s="318"/>
      <c r="BL76" s="318"/>
      <c r="BM76" s="318"/>
      <c r="BN76" s="318"/>
      <c r="BO76" s="318"/>
      <c r="BP76" s="318"/>
      <c r="BQ76" s="318"/>
      <c r="BR76" s="318"/>
      <c r="BS76" s="318"/>
      <c r="BT76" s="318"/>
      <c r="BU76" s="318"/>
      <c r="BV76" s="318"/>
      <c r="BW76" s="318"/>
      <c r="BX76" s="318"/>
      <c r="BY76" s="319">
        <f t="shared" si="24"/>
        <v>0</v>
      </c>
      <c r="BZ76" s="599"/>
      <c r="CA76" s="268"/>
      <c r="CB76" s="293" t="e">
        <f ca="1">SUM(INDEX(AC76:BX76, , 1):INDEX(AC76:BX76, ,MATCH(CB34, E33:BX33,0) ))</f>
        <v>#REF!</v>
      </c>
      <c r="CC76" s="599"/>
      <c r="CD76" s="268"/>
      <c r="CE76" s="268"/>
      <c r="CF76" s="268"/>
      <c r="CG76" s="268"/>
      <c r="CH76" s="268"/>
      <c r="CI76" s="268"/>
      <c r="CJ76" s="268"/>
      <c r="CK76" s="268"/>
      <c r="CL76" s="268"/>
      <c r="CM76" s="268"/>
      <c r="CN76" s="268"/>
      <c r="CO76" s="268"/>
      <c r="CP76" s="268"/>
      <c r="CQ76" s="268"/>
      <c r="CR76" s="268"/>
      <c r="CS76" s="268"/>
      <c r="CT76" s="268"/>
      <c r="CU76" s="268"/>
      <c r="CV76" s="268"/>
      <c r="CW76" s="268"/>
      <c r="CX76" s="268"/>
      <c r="CY76" s="268"/>
      <c r="CZ76" s="268"/>
      <c r="DA76" s="268"/>
      <c r="DB76" s="268"/>
      <c r="DC76" s="268"/>
      <c r="DD76" s="268"/>
      <c r="DE76" s="268"/>
      <c r="DF76" s="268"/>
      <c r="DG76" s="268"/>
      <c r="DH76" s="268"/>
      <c r="DI76" s="268"/>
      <c r="DJ76" s="268"/>
      <c r="DK76" s="268"/>
      <c r="DL76" s="268"/>
      <c r="DM76" s="268"/>
      <c r="DN76" s="268"/>
      <c r="DO76" s="268"/>
      <c r="DP76" s="268"/>
      <c r="DQ76" s="268"/>
      <c r="DR76" s="268"/>
      <c r="DS76" s="268"/>
      <c r="DT76" s="268"/>
      <c r="DU76" s="268"/>
      <c r="DV76" s="268"/>
      <c r="DW76" s="268"/>
      <c r="DX76" s="268"/>
      <c r="DY76" s="268"/>
      <c r="DZ76" s="268"/>
      <c r="EA76" s="268"/>
      <c r="EB76" s="268"/>
      <c r="EC76" s="268"/>
      <c r="ED76" s="268"/>
      <c r="EE76" s="268"/>
      <c r="EF76" s="268"/>
      <c r="EG76" s="268"/>
      <c r="EH76" s="268"/>
    </row>
    <row r="77" spans="1:138" ht="15.95" hidden="1" outlineLevel="1">
      <c r="A77" s="474"/>
      <c r="B77" s="609"/>
      <c r="C77" s="320" t="s">
        <v>307</v>
      </c>
      <c r="D77" s="295" t="s">
        <v>245</v>
      </c>
      <c r="E77" s="318"/>
      <c r="F77" s="318"/>
      <c r="G77" s="318"/>
      <c r="H77" s="318"/>
      <c r="I77" s="318"/>
      <c r="J77" s="318"/>
      <c r="K77" s="318"/>
      <c r="L77" s="318"/>
      <c r="M77" s="318"/>
      <c r="N77" s="318"/>
      <c r="O77" s="318"/>
      <c r="P77" s="318"/>
      <c r="Q77" s="318"/>
      <c r="R77" s="318"/>
      <c r="S77" s="318"/>
      <c r="T77" s="318"/>
      <c r="U77" s="318"/>
      <c r="V77" s="318"/>
      <c r="W77" s="318"/>
      <c r="X77" s="318"/>
      <c r="Y77" s="318"/>
      <c r="Z77" s="318"/>
      <c r="AA77" s="318"/>
      <c r="AB77" s="318"/>
      <c r="AC77" s="318"/>
      <c r="AD77" s="318"/>
      <c r="AE77" s="318"/>
      <c r="AF77" s="318"/>
      <c r="AG77" s="318"/>
      <c r="AH77" s="318"/>
      <c r="AI77" s="318"/>
      <c r="AJ77" s="318"/>
      <c r="AK77" s="318"/>
      <c r="AL77" s="318"/>
      <c r="AM77" s="318"/>
      <c r="AN77" s="318"/>
      <c r="AO77" s="318"/>
      <c r="AP77" s="318"/>
      <c r="AQ77" s="318"/>
      <c r="AR77" s="318"/>
      <c r="AS77" s="318"/>
      <c r="AT77" s="318"/>
      <c r="AU77" s="318"/>
      <c r="AV77" s="318"/>
      <c r="AW77" s="318"/>
      <c r="AX77" s="318"/>
      <c r="AY77" s="318"/>
      <c r="AZ77" s="318"/>
      <c r="BA77" s="318"/>
      <c r="BB77" s="318"/>
      <c r="BC77" s="318"/>
      <c r="BD77" s="318"/>
      <c r="BE77" s="318"/>
      <c r="BF77" s="318"/>
      <c r="BG77" s="318"/>
      <c r="BH77" s="318"/>
      <c r="BI77" s="318"/>
      <c r="BJ77" s="318"/>
      <c r="BK77" s="318"/>
      <c r="BL77" s="318"/>
      <c r="BM77" s="318"/>
      <c r="BN77" s="318"/>
      <c r="BO77" s="318"/>
      <c r="BP77" s="318"/>
      <c r="BQ77" s="318"/>
      <c r="BR77" s="318"/>
      <c r="BS77" s="318"/>
      <c r="BT77" s="318"/>
      <c r="BU77" s="318"/>
      <c r="BV77" s="318"/>
      <c r="BW77" s="318"/>
      <c r="BX77" s="318"/>
      <c r="BY77" s="319">
        <f t="shared" si="24"/>
        <v>0</v>
      </c>
      <c r="BZ77" s="599"/>
      <c r="CA77" s="268"/>
      <c r="CB77" s="293" t="e">
        <f ca="1">SUM(INDEX(AC77:BX77, , 1):INDEX(AC77:BX77, ,MATCH(CB35, E34:BX34,0) ))</f>
        <v>#REF!</v>
      </c>
      <c r="CC77" s="599"/>
      <c r="CD77" s="268"/>
      <c r="CE77" s="268"/>
      <c r="CF77" s="268"/>
      <c r="CG77" s="268"/>
      <c r="CH77" s="268"/>
      <c r="CI77" s="268"/>
      <c r="CJ77" s="268"/>
      <c r="CK77" s="268"/>
      <c r="CL77" s="268"/>
      <c r="CM77" s="268"/>
      <c r="CN77" s="268"/>
      <c r="CO77" s="268"/>
      <c r="CP77" s="268"/>
      <c r="CQ77" s="268"/>
      <c r="CR77" s="268"/>
      <c r="CS77" s="268"/>
      <c r="CT77" s="268"/>
      <c r="CU77" s="268"/>
      <c r="CV77" s="268"/>
      <c r="CW77" s="268"/>
      <c r="CX77" s="268"/>
      <c r="CY77" s="268"/>
      <c r="CZ77" s="268"/>
      <c r="DA77" s="268"/>
      <c r="DB77" s="268"/>
      <c r="DC77" s="268"/>
      <c r="DD77" s="268"/>
      <c r="DE77" s="268"/>
      <c r="DF77" s="268"/>
      <c r="DG77" s="268"/>
      <c r="DH77" s="268"/>
      <c r="DI77" s="268"/>
      <c r="DJ77" s="268"/>
      <c r="DK77" s="268"/>
      <c r="DL77" s="268"/>
      <c r="DM77" s="268"/>
      <c r="DN77" s="268"/>
      <c r="DO77" s="268"/>
      <c r="DP77" s="268"/>
      <c r="DQ77" s="268"/>
      <c r="DR77" s="268"/>
      <c r="DS77" s="268"/>
      <c r="DT77" s="268"/>
      <c r="DU77" s="268"/>
      <c r="DV77" s="268"/>
      <c r="DW77" s="268"/>
      <c r="DX77" s="268"/>
      <c r="DY77" s="268"/>
      <c r="DZ77" s="268"/>
      <c r="EA77" s="268"/>
      <c r="EB77" s="268"/>
      <c r="EC77" s="268"/>
      <c r="ED77" s="268"/>
      <c r="EE77" s="268"/>
      <c r="EF77" s="268"/>
      <c r="EG77" s="268"/>
      <c r="EH77" s="268"/>
    </row>
    <row r="78" spans="1:138" ht="15.95" hidden="1" outlineLevel="1">
      <c r="A78" s="474"/>
      <c r="B78" s="609"/>
      <c r="C78" s="320" t="s">
        <v>308</v>
      </c>
      <c r="D78" s="295" t="s">
        <v>245</v>
      </c>
      <c r="E78" s="318"/>
      <c r="F78" s="318"/>
      <c r="G78" s="318"/>
      <c r="H78" s="318"/>
      <c r="I78" s="318"/>
      <c r="J78" s="318"/>
      <c r="K78" s="318"/>
      <c r="L78" s="318"/>
      <c r="M78" s="318"/>
      <c r="N78" s="318"/>
      <c r="O78" s="318"/>
      <c r="P78" s="318"/>
      <c r="Q78" s="318"/>
      <c r="R78" s="318"/>
      <c r="S78" s="318"/>
      <c r="T78" s="318"/>
      <c r="U78" s="318"/>
      <c r="V78" s="318"/>
      <c r="W78" s="318"/>
      <c r="X78" s="318"/>
      <c r="Y78" s="318"/>
      <c r="Z78" s="318"/>
      <c r="AA78" s="318"/>
      <c r="AB78" s="318"/>
      <c r="AC78" s="318"/>
      <c r="AD78" s="318"/>
      <c r="AE78" s="318"/>
      <c r="AF78" s="318"/>
      <c r="AG78" s="318"/>
      <c r="AH78" s="318"/>
      <c r="AI78" s="318"/>
      <c r="AJ78" s="318"/>
      <c r="AK78" s="318"/>
      <c r="AL78" s="318"/>
      <c r="AM78" s="318"/>
      <c r="AN78" s="318"/>
      <c r="AO78" s="318"/>
      <c r="AP78" s="318"/>
      <c r="AQ78" s="318"/>
      <c r="AR78" s="318"/>
      <c r="AS78" s="318"/>
      <c r="AT78" s="318"/>
      <c r="AU78" s="318"/>
      <c r="AV78" s="318"/>
      <c r="AW78" s="318"/>
      <c r="AX78" s="318"/>
      <c r="AY78" s="318"/>
      <c r="AZ78" s="318"/>
      <c r="BA78" s="318"/>
      <c r="BB78" s="318"/>
      <c r="BC78" s="318"/>
      <c r="BD78" s="318"/>
      <c r="BE78" s="318"/>
      <c r="BF78" s="318"/>
      <c r="BG78" s="318"/>
      <c r="BH78" s="318"/>
      <c r="BI78" s="318"/>
      <c r="BJ78" s="318"/>
      <c r="BK78" s="318"/>
      <c r="BL78" s="318"/>
      <c r="BM78" s="318"/>
      <c r="BN78" s="318"/>
      <c r="BO78" s="318"/>
      <c r="BP78" s="318"/>
      <c r="BQ78" s="318"/>
      <c r="BR78" s="318"/>
      <c r="BS78" s="318"/>
      <c r="BT78" s="318"/>
      <c r="BU78" s="318"/>
      <c r="BV78" s="318"/>
      <c r="BW78" s="318"/>
      <c r="BX78" s="318"/>
      <c r="BY78" s="319">
        <f t="shared" si="24"/>
        <v>0</v>
      </c>
      <c r="BZ78" s="599"/>
      <c r="CA78" s="268"/>
      <c r="CB78" s="293" t="e">
        <f ca="1">SUM(INDEX(AC78:BX78, , 1):INDEX(AC78:BX78, ,MATCH(CB36, E35:BX35,0) ))</f>
        <v>#N/A</v>
      </c>
      <c r="CC78" s="599"/>
      <c r="CD78" s="268"/>
      <c r="CE78" s="268"/>
      <c r="CF78" s="268"/>
      <c r="CG78" s="268"/>
      <c r="CH78" s="268"/>
      <c r="CI78" s="268"/>
      <c r="CJ78" s="268"/>
      <c r="CK78" s="268"/>
      <c r="CL78" s="268"/>
      <c r="CM78" s="268"/>
      <c r="CN78" s="268"/>
      <c r="CO78" s="268"/>
      <c r="CP78" s="268"/>
      <c r="CQ78" s="268"/>
      <c r="CR78" s="268"/>
      <c r="CS78" s="268"/>
      <c r="CT78" s="268"/>
      <c r="CU78" s="268"/>
      <c r="CV78" s="268"/>
      <c r="CW78" s="268"/>
      <c r="CX78" s="268"/>
      <c r="CY78" s="268"/>
      <c r="CZ78" s="268"/>
      <c r="DA78" s="268"/>
      <c r="DB78" s="268"/>
      <c r="DC78" s="268"/>
      <c r="DD78" s="268"/>
      <c r="DE78" s="268"/>
      <c r="DF78" s="268"/>
      <c r="DG78" s="268"/>
      <c r="DH78" s="268"/>
      <c r="DI78" s="268"/>
      <c r="DJ78" s="268"/>
      <c r="DK78" s="268"/>
      <c r="DL78" s="268"/>
      <c r="DM78" s="268"/>
      <c r="DN78" s="268"/>
      <c r="DO78" s="268"/>
      <c r="DP78" s="268"/>
      <c r="DQ78" s="268"/>
      <c r="DR78" s="268"/>
      <c r="DS78" s="268"/>
      <c r="DT78" s="268"/>
      <c r="DU78" s="268"/>
      <c r="DV78" s="268"/>
      <c r="DW78" s="268"/>
      <c r="DX78" s="268"/>
      <c r="DY78" s="268"/>
      <c r="DZ78" s="268"/>
      <c r="EA78" s="268"/>
      <c r="EB78" s="268"/>
      <c r="EC78" s="268"/>
      <c r="ED78" s="268"/>
      <c r="EE78" s="268"/>
      <c r="EF78" s="268"/>
      <c r="EG78" s="268"/>
      <c r="EH78" s="268"/>
    </row>
    <row r="79" spans="1:138" ht="15.95" hidden="1" outlineLevel="1">
      <c r="A79" s="474"/>
      <c r="B79" s="609"/>
      <c r="C79" s="320" t="s">
        <v>309</v>
      </c>
      <c r="D79" s="295" t="s">
        <v>245</v>
      </c>
      <c r="E79" s="318"/>
      <c r="F79" s="318"/>
      <c r="G79" s="318"/>
      <c r="H79" s="318"/>
      <c r="I79" s="318"/>
      <c r="J79" s="318"/>
      <c r="K79" s="318"/>
      <c r="L79" s="318"/>
      <c r="M79" s="318"/>
      <c r="N79" s="318"/>
      <c r="O79" s="318"/>
      <c r="P79" s="318"/>
      <c r="Q79" s="318"/>
      <c r="R79" s="318"/>
      <c r="S79" s="318"/>
      <c r="T79" s="318"/>
      <c r="U79" s="318"/>
      <c r="V79" s="318"/>
      <c r="W79" s="318"/>
      <c r="X79" s="318"/>
      <c r="Y79" s="318"/>
      <c r="Z79" s="318"/>
      <c r="AA79" s="318"/>
      <c r="AB79" s="318"/>
      <c r="AC79" s="318"/>
      <c r="AD79" s="318"/>
      <c r="AE79" s="318"/>
      <c r="AF79" s="318"/>
      <c r="AG79" s="318"/>
      <c r="AH79" s="318"/>
      <c r="AI79" s="318">
        <f>-Businessplan_prodej!$N$23/12</f>
        <v>-125504</v>
      </c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318"/>
      <c r="AU79" s="318"/>
      <c r="AV79" s="318"/>
      <c r="AW79" s="318"/>
      <c r="AX79" s="318"/>
      <c r="AY79" s="318"/>
      <c r="AZ79" s="318"/>
      <c r="BA79" s="318"/>
      <c r="BB79" s="318"/>
      <c r="BC79" s="318"/>
      <c r="BD79" s="318"/>
      <c r="BE79" s="318"/>
      <c r="BF79" s="318"/>
      <c r="BG79" s="318"/>
      <c r="BH79" s="318"/>
      <c r="BI79" s="318"/>
      <c r="BJ79" s="318"/>
      <c r="BK79" s="318"/>
      <c r="BL79" s="318"/>
      <c r="BM79" s="318"/>
      <c r="BN79" s="318"/>
      <c r="BO79" s="318"/>
      <c r="BP79" s="318"/>
      <c r="BQ79" s="318"/>
      <c r="BR79" s="318"/>
      <c r="BS79" s="318"/>
      <c r="BT79" s="318"/>
      <c r="BU79" s="318"/>
      <c r="BV79" s="318"/>
      <c r="BW79" s="318"/>
      <c r="BX79" s="318"/>
      <c r="BY79" s="319">
        <f t="shared" si="24"/>
        <v>-125504</v>
      </c>
      <c r="BZ79" s="599"/>
      <c r="CA79" s="268" t="s">
        <v>310</v>
      </c>
      <c r="CB79" s="293" t="e">
        <f ca="1">SUM(INDEX(AC79:BX79, , 1):INDEX(AC79:BX79, ,MATCH(CB37, E36:BX36,0) ))</f>
        <v>#REF!</v>
      </c>
      <c r="CC79" s="599"/>
      <c r="CD79" s="268"/>
      <c r="CE79" s="268"/>
      <c r="CF79" s="268"/>
      <c r="CG79" s="268"/>
      <c r="CH79" s="268"/>
      <c r="CI79" s="268"/>
      <c r="CJ79" s="268"/>
      <c r="CK79" s="268"/>
      <c r="CL79" s="268"/>
      <c r="CM79" s="268"/>
      <c r="CN79" s="268"/>
      <c r="CO79" s="268"/>
      <c r="CP79" s="268"/>
      <c r="CQ79" s="268"/>
      <c r="CR79" s="268"/>
      <c r="CS79" s="268"/>
      <c r="CT79" s="268"/>
      <c r="CU79" s="268"/>
      <c r="CV79" s="268"/>
      <c r="CW79" s="268"/>
      <c r="CX79" s="268"/>
      <c r="CY79" s="268"/>
      <c r="CZ79" s="268"/>
      <c r="DA79" s="268"/>
      <c r="DB79" s="268"/>
      <c r="DC79" s="268"/>
      <c r="DD79" s="268"/>
      <c r="DE79" s="268"/>
      <c r="DF79" s="268"/>
      <c r="DG79" s="268"/>
      <c r="DH79" s="268"/>
      <c r="DI79" s="268"/>
      <c r="DJ79" s="268"/>
      <c r="DK79" s="268"/>
      <c r="DL79" s="268"/>
      <c r="DM79" s="268"/>
      <c r="DN79" s="268"/>
      <c r="DO79" s="268"/>
      <c r="DP79" s="268"/>
      <c r="DQ79" s="268"/>
      <c r="DR79" s="268"/>
      <c r="DS79" s="268"/>
      <c r="DT79" s="268"/>
      <c r="DU79" s="268"/>
      <c r="DV79" s="268"/>
      <c r="DW79" s="268"/>
      <c r="DX79" s="268"/>
      <c r="DY79" s="268"/>
      <c r="DZ79" s="268"/>
      <c r="EA79" s="268"/>
      <c r="EB79" s="268"/>
      <c r="EC79" s="268"/>
      <c r="ED79" s="268"/>
      <c r="EE79" s="268"/>
      <c r="EF79" s="268"/>
      <c r="EG79" s="268"/>
      <c r="EH79" s="268"/>
    </row>
    <row r="80" spans="1:138" ht="15.95" hidden="1" outlineLevel="1">
      <c r="A80" s="474"/>
      <c r="B80" s="609"/>
      <c r="C80" s="320" t="s">
        <v>311</v>
      </c>
      <c r="D80" s="295" t="s">
        <v>245</v>
      </c>
      <c r="E80" s="318"/>
      <c r="F80" s="318"/>
      <c r="G80" s="318"/>
      <c r="H80" s="318"/>
      <c r="I80" s="318"/>
      <c r="J80" s="318"/>
      <c r="K80" s="318"/>
      <c r="L80" s="318"/>
      <c r="M80" s="318"/>
      <c r="N80" s="318"/>
      <c r="O80" s="318"/>
      <c r="P80" s="318"/>
      <c r="Q80" s="318"/>
      <c r="R80" s="318"/>
      <c r="S80" s="318"/>
      <c r="T80" s="318"/>
      <c r="U80" s="318"/>
      <c r="V80" s="318"/>
      <c r="W80" s="318"/>
      <c r="X80" s="318"/>
      <c r="Y80" s="318"/>
      <c r="Z80" s="318"/>
      <c r="AA80" s="318"/>
      <c r="AB80" s="318"/>
      <c r="AC80" s="318"/>
      <c r="AD80" s="318"/>
      <c r="AE80" s="318"/>
      <c r="AF80" s="318"/>
      <c r="AG80" s="318"/>
      <c r="AH80" s="318"/>
      <c r="AI80" s="318"/>
      <c r="AJ80" s="318"/>
      <c r="AK80" s="318"/>
      <c r="AL80" s="318"/>
      <c r="AM80" s="318"/>
      <c r="AN80" s="318"/>
      <c r="AO80" s="318"/>
      <c r="AP80" s="318"/>
      <c r="AQ80" s="318"/>
      <c r="AR80" s="318"/>
      <c r="AS80" s="318"/>
      <c r="AT80" s="318"/>
      <c r="AU80" s="318"/>
      <c r="AV80" s="318"/>
      <c r="AW80" s="318"/>
      <c r="AX80" s="318"/>
      <c r="AY80" s="318"/>
      <c r="AZ80" s="318"/>
      <c r="BA80" s="318"/>
      <c r="BB80" s="318"/>
      <c r="BC80" s="318"/>
      <c r="BD80" s="318"/>
      <c r="BE80" s="318"/>
      <c r="BF80" s="318"/>
      <c r="BG80" s="318"/>
      <c r="BH80" s="318"/>
      <c r="BI80" s="318"/>
      <c r="BJ80" s="318"/>
      <c r="BK80" s="318"/>
      <c r="BL80" s="318"/>
      <c r="BM80" s="318"/>
      <c r="BN80" s="318"/>
      <c r="BO80" s="318"/>
      <c r="BP80" s="318"/>
      <c r="BQ80" s="318"/>
      <c r="BR80" s="318"/>
      <c r="BS80" s="318"/>
      <c r="BT80" s="318"/>
      <c r="BU80" s="318"/>
      <c r="BV80" s="318"/>
      <c r="BW80" s="318"/>
      <c r="BX80" s="318"/>
      <c r="BY80" s="319">
        <f t="shared" si="24"/>
        <v>0</v>
      </c>
      <c r="BZ80" s="599"/>
      <c r="CA80" s="268"/>
      <c r="CB80" s="293" t="e">
        <f ca="1">SUM(INDEX(AC80:BX80, , 1):INDEX(AC80:BX80, ,MATCH(CB38, E37:BX37,0) ))</f>
        <v>#REF!</v>
      </c>
      <c r="CC80" s="599"/>
      <c r="CD80" s="268"/>
      <c r="CE80" s="268"/>
      <c r="CF80" s="268"/>
      <c r="CG80" s="268"/>
      <c r="CH80" s="268"/>
      <c r="CI80" s="268"/>
      <c r="CJ80" s="268"/>
      <c r="CK80" s="268"/>
      <c r="CL80" s="268"/>
      <c r="CM80" s="268"/>
      <c r="CN80" s="268"/>
      <c r="CO80" s="268"/>
      <c r="CP80" s="268"/>
      <c r="CQ80" s="268"/>
      <c r="CR80" s="268"/>
      <c r="CS80" s="268"/>
      <c r="CT80" s="268"/>
      <c r="CU80" s="268"/>
      <c r="CV80" s="268"/>
      <c r="CW80" s="268"/>
      <c r="CX80" s="268"/>
      <c r="CY80" s="268"/>
      <c r="CZ80" s="268"/>
      <c r="DA80" s="268"/>
      <c r="DB80" s="268"/>
      <c r="DC80" s="268"/>
      <c r="DD80" s="268"/>
      <c r="DE80" s="268"/>
      <c r="DF80" s="268"/>
      <c r="DG80" s="268"/>
      <c r="DH80" s="268"/>
      <c r="DI80" s="268"/>
      <c r="DJ80" s="268"/>
      <c r="DK80" s="268"/>
      <c r="DL80" s="268"/>
      <c r="DM80" s="268"/>
      <c r="DN80" s="268"/>
      <c r="DO80" s="268"/>
      <c r="DP80" s="268"/>
      <c r="DQ80" s="268"/>
      <c r="DR80" s="268"/>
      <c r="DS80" s="268"/>
      <c r="DT80" s="268"/>
      <c r="DU80" s="268"/>
      <c r="DV80" s="268"/>
      <c r="DW80" s="268"/>
      <c r="DX80" s="268"/>
      <c r="DY80" s="268"/>
      <c r="DZ80" s="268"/>
      <c r="EA80" s="268"/>
      <c r="EB80" s="268"/>
      <c r="EC80" s="268"/>
      <c r="ED80" s="268"/>
      <c r="EE80" s="268"/>
      <c r="EF80" s="268"/>
      <c r="EG80" s="268"/>
      <c r="EH80" s="268"/>
    </row>
    <row r="81" spans="1:138" ht="15.95" hidden="1" outlineLevel="1">
      <c r="A81" s="474"/>
      <c r="B81" s="609"/>
      <c r="C81" s="321" t="s">
        <v>275</v>
      </c>
      <c r="D81" s="295" t="s">
        <v>245</v>
      </c>
      <c r="E81" s="318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  <c r="BJ81" s="296"/>
      <c r="BK81" s="296"/>
      <c r="BL81" s="296"/>
      <c r="BM81" s="296"/>
      <c r="BN81" s="296"/>
      <c r="BO81" s="296"/>
      <c r="BP81" s="296"/>
      <c r="BQ81" s="296"/>
      <c r="BR81" s="296"/>
      <c r="BS81" s="296"/>
      <c r="BT81" s="296"/>
      <c r="BU81" s="296"/>
      <c r="BV81" s="296"/>
      <c r="BW81" s="296"/>
      <c r="BX81" s="296"/>
      <c r="BY81" s="319">
        <f t="shared" si="24"/>
        <v>0</v>
      </c>
      <c r="BZ81" s="599"/>
      <c r="CA81" s="268"/>
      <c r="CB81" s="293" t="e">
        <f ca="1">SUM(INDEX(AC81:BX81, , 1):INDEX(AC81:BX81, ,MATCH(CB39, E38:BX38,0) ))</f>
        <v>#N/A</v>
      </c>
      <c r="CC81" s="599"/>
      <c r="CD81" s="268"/>
      <c r="CE81" s="268"/>
      <c r="CF81" s="268"/>
      <c r="CG81" s="268"/>
      <c r="CH81" s="268"/>
      <c r="CI81" s="268"/>
      <c r="CJ81" s="268"/>
      <c r="CK81" s="268"/>
      <c r="CL81" s="268"/>
      <c r="CM81" s="268"/>
      <c r="CN81" s="268"/>
      <c r="CO81" s="268"/>
      <c r="CP81" s="268"/>
      <c r="CQ81" s="268"/>
      <c r="CR81" s="268"/>
      <c r="CS81" s="268"/>
      <c r="CT81" s="268"/>
      <c r="CU81" s="268"/>
      <c r="CV81" s="268"/>
      <c r="CW81" s="268"/>
      <c r="CX81" s="268"/>
      <c r="CY81" s="268"/>
      <c r="CZ81" s="268"/>
      <c r="DA81" s="268"/>
      <c r="DB81" s="268"/>
      <c r="DC81" s="268"/>
      <c r="DD81" s="268"/>
      <c r="DE81" s="268"/>
      <c r="DF81" s="268"/>
      <c r="DG81" s="268"/>
      <c r="DH81" s="268"/>
      <c r="DI81" s="268"/>
      <c r="DJ81" s="268"/>
      <c r="DK81" s="268"/>
      <c r="DL81" s="268"/>
      <c r="DM81" s="268"/>
      <c r="DN81" s="268"/>
      <c r="DO81" s="268"/>
      <c r="DP81" s="268"/>
      <c r="DQ81" s="268"/>
      <c r="DR81" s="268"/>
      <c r="DS81" s="268"/>
      <c r="DT81" s="268"/>
      <c r="DU81" s="268"/>
      <c r="DV81" s="268"/>
      <c r="DW81" s="268"/>
      <c r="DX81" s="268"/>
      <c r="DY81" s="268"/>
      <c r="DZ81" s="268"/>
      <c r="EA81" s="268"/>
      <c r="EB81" s="268"/>
      <c r="EC81" s="268"/>
      <c r="ED81" s="268"/>
      <c r="EE81" s="268"/>
      <c r="EF81" s="268"/>
      <c r="EG81" s="268"/>
      <c r="EH81" s="268"/>
    </row>
    <row r="82" spans="1:138" ht="15.95" hidden="1" outlineLevel="1">
      <c r="A82" s="474"/>
      <c r="B82" s="609"/>
      <c r="C82" s="320" t="s">
        <v>276</v>
      </c>
      <c r="D82" s="295" t="s">
        <v>245</v>
      </c>
      <c r="E82" s="318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  <c r="BJ82" s="296"/>
      <c r="BK82" s="296"/>
      <c r="BL82" s="296"/>
      <c r="BM82" s="296"/>
      <c r="BN82" s="296"/>
      <c r="BO82" s="296"/>
      <c r="BP82" s="296"/>
      <c r="BQ82" s="296"/>
      <c r="BR82" s="296"/>
      <c r="BS82" s="296"/>
      <c r="BT82" s="296"/>
      <c r="BU82" s="296"/>
      <c r="BV82" s="296"/>
      <c r="BW82" s="296"/>
      <c r="BX82" s="296"/>
      <c r="BY82" s="319">
        <f t="shared" si="24"/>
        <v>0</v>
      </c>
      <c r="BZ82" s="599"/>
      <c r="CA82" s="268"/>
      <c r="CB82" s="293" t="e">
        <f ca="1">SUM(INDEX(AC82:BX82, , 1):INDEX(AC82:BX82, ,MATCH(CB40, E39:BX39,0) ))</f>
        <v>#REF!</v>
      </c>
      <c r="CC82" s="599"/>
      <c r="CD82" s="268"/>
      <c r="CE82" s="268"/>
      <c r="CF82" s="268"/>
      <c r="CG82" s="268"/>
      <c r="CH82" s="268"/>
      <c r="CI82" s="268"/>
      <c r="CJ82" s="268"/>
      <c r="CK82" s="268"/>
      <c r="CL82" s="268"/>
      <c r="CM82" s="268"/>
      <c r="CN82" s="268"/>
      <c r="CO82" s="268"/>
      <c r="CP82" s="268"/>
      <c r="CQ82" s="268"/>
      <c r="CR82" s="268"/>
      <c r="CS82" s="268"/>
      <c r="CT82" s="268"/>
      <c r="CU82" s="268"/>
      <c r="CV82" s="268"/>
      <c r="CW82" s="268"/>
      <c r="CX82" s="268"/>
      <c r="CY82" s="268"/>
      <c r="CZ82" s="268"/>
      <c r="DA82" s="268"/>
      <c r="DB82" s="268"/>
      <c r="DC82" s="268"/>
      <c r="DD82" s="268"/>
      <c r="DE82" s="268"/>
      <c r="DF82" s="268"/>
      <c r="DG82" s="268"/>
      <c r="DH82" s="268"/>
      <c r="DI82" s="268"/>
      <c r="DJ82" s="268"/>
      <c r="DK82" s="268"/>
      <c r="DL82" s="268"/>
      <c r="DM82" s="268"/>
      <c r="DN82" s="268"/>
      <c r="DO82" s="268"/>
      <c r="DP82" s="268"/>
      <c r="DQ82" s="268"/>
      <c r="DR82" s="268"/>
      <c r="DS82" s="268"/>
      <c r="DT82" s="268"/>
      <c r="DU82" s="268"/>
      <c r="DV82" s="268"/>
      <c r="DW82" s="268"/>
      <c r="DX82" s="268"/>
      <c r="DY82" s="268"/>
      <c r="DZ82" s="268"/>
      <c r="EA82" s="268"/>
      <c r="EB82" s="268"/>
      <c r="EC82" s="268"/>
      <c r="ED82" s="268"/>
      <c r="EE82" s="268"/>
      <c r="EF82" s="268"/>
      <c r="EG82" s="268"/>
      <c r="EH82" s="268"/>
    </row>
    <row r="83" spans="1:138" ht="15.95" hidden="1" outlineLevel="1">
      <c r="A83" s="474"/>
      <c r="B83" s="609"/>
      <c r="C83" s="320" t="s">
        <v>282</v>
      </c>
      <c r="D83" s="295" t="s">
        <v>245</v>
      </c>
      <c r="E83" s="318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  <c r="BJ83" s="296"/>
      <c r="BK83" s="296"/>
      <c r="BL83" s="296"/>
      <c r="BM83" s="296"/>
      <c r="BN83" s="296"/>
      <c r="BO83" s="296"/>
      <c r="BP83" s="296"/>
      <c r="BQ83" s="296"/>
      <c r="BR83" s="296"/>
      <c r="BS83" s="296"/>
      <c r="BT83" s="296"/>
      <c r="BU83" s="296"/>
      <c r="BV83" s="296"/>
      <c r="BW83" s="296"/>
      <c r="BX83" s="296"/>
      <c r="BY83" s="319">
        <f t="shared" si="24"/>
        <v>0</v>
      </c>
      <c r="BZ83" s="599"/>
      <c r="CA83" s="268"/>
      <c r="CB83" s="293" t="e">
        <f ca="1">SUM(INDEX(AC83:BX83, , 1):INDEX(AC83:BX83, ,MATCH(#REF!, E40:BX40,0) ))</f>
        <v>#REF!</v>
      </c>
      <c r="CC83" s="599"/>
      <c r="CD83" s="268"/>
      <c r="CE83" s="268"/>
      <c r="CF83" s="268"/>
      <c r="CG83" s="268"/>
      <c r="CH83" s="268"/>
      <c r="CI83" s="268"/>
      <c r="CJ83" s="268"/>
      <c r="CK83" s="268"/>
      <c r="CL83" s="268"/>
      <c r="CM83" s="268"/>
      <c r="CN83" s="268"/>
      <c r="CO83" s="268"/>
      <c r="CP83" s="268"/>
      <c r="CQ83" s="268"/>
      <c r="CR83" s="268"/>
      <c r="CS83" s="268"/>
      <c r="CT83" s="268"/>
      <c r="CU83" s="268"/>
      <c r="CV83" s="268"/>
      <c r="CW83" s="268"/>
      <c r="CX83" s="268"/>
      <c r="CY83" s="268"/>
      <c r="CZ83" s="268"/>
      <c r="DA83" s="268"/>
      <c r="DB83" s="268"/>
      <c r="DC83" s="268"/>
      <c r="DD83" s="268"/>
      <c r="DE83" s="268"/>
      <c r="DF83" s="268"/>
      <c r="DG83" s="268"/>
      <c r="DH83" s="268"/>
      <c r="DI83" s="268"/>
      <c r="DJ83" s="268"/>
      <c r="DK83" s="268"/>
      <c r="DL83" s="268"/>
      <c r="DM83" s="268"/>
      <c r="DN83" s="268"/>
      <c r="DO83" s="268"/>
      <c r="DP83" s="268"/>
      <c r="DQ83" s="268"/>
      <c r="DR83" s="268"/>
      <c r="DS83" s="268"/>
      <c r="DT83" s="268"/>
      <c r="DU83" s="268"/>
      <c r="DV83" s="268"/>
      <c r="DW83" s="268"/>
      <c r="DX83" s="268"/>
      <c r="DY83" s="268"/>
      <c r="DZ83" s="268"/>
      <c r="EA83" s="268"/>
      <c r="EB83" s="268"/>
      <c r="EC83" s="268"/>
      <c r="ED83" s="268"/>
      <c r="EE83" s="268"/>
      <c r="EF83" s="268"/>
      <c r="EG83" s="268"/>
      <c r="EH83" s="268"/>
    </row>
    <row r="84" spans="1:138" ht="15.95" hidden="1" outlineLevel="1">
      <c r="A84" s="474"/>
      <c r="B84" s="609"/>
      <c r="C84" s="320" t="s">
        <v>283</v>
      </c>
      <c r="D84" s="295" t="s">
        <v>245</v>
      </c>
      <c r="E84" s="318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319">
        <f t="shared" si="24"/>
        <v>0</v>
      </c>
      <c r="BZ84" s="599"/>
      <c r="CA84" s="268"/>
      <c r="CB84" s="293" t="e">
        <f ca="1">SUM(INDEX(AC84:BX84, , 1):INDEX(AC84:BX84, ,MATCH(CB42,#REF!, 0) ))</f>
        <v>#REF!</v>
      </c>
      <c r="CC84" s="599"/>
      <c r="CD84" s="268"/>
      <c r="CE84" s="268"/>
      <c r="CF84" s="268"/>
      <c r="CG84" s="268"/>
      <c r="CH84" s="268"/>
      <c r="CI84" s="268"/>
      <c r="CJ84" s="268"/>
      <c r="CK84" s="268"/>
      <c r="CL84" s="268"/>
      <c r="CM84" s="268"/>
      <c r="CN84" s="268"/>
      <c r="CO84" s="268"/>
      <c r="CP84" s="268"/>
      <c r="CQ84" s="268"/>
      <c r="CR84" s="268"/>
      <c r="CS84" s="268"/>
      <c r="CT84" s="268"/>
      <c r="CU84" s="268"/>
      <c r="CV84" s="268"/>
      <c r="CW84" s="268"/>
      <c r="CX84" s="268"/>
      <c r="CY84" s="268"/>
      <c r="CZ84" s="268"/>
      <c r="DA84" s="268"/>
      <c r="DB84" s="268"/>
      <c r="DC84" s="268"/>
      <c r="DD84" s="268"/>
      <c r="DE84" s="268"/>
      <c r="DF84" s="268"/>
      <c r="DG84" s="268"/>
      <c r="DH84" s="268"/>
      <c r="DI84" s="268"/>
      <c r="DJ84" s="268"/>
      <c r="DK84" s="268"/>
      <c r="DL84" s="268"/>
      <c r="DM84" s="268"/>
      <c r="DN84" s="268"/>
      <c r="DO84" s="268"/>
      <c r="DP84" s="268"/>
      <c r="DQ84" s="268"/>
      <c r="DR84" s="268"/>
      <c r="DS84" s="268"/>
      <c r="DT84" s="268"/>
      <c r="DU84" s="268"/>
      <c r="DV84" s="268"/>
      <c r="DW84" s="268"/>
      <c r="DX84" s="268"/>
      <c r="DY84" s="268"/>
      <c r="DZ84" s="268"/>
      <c r="EA84" s="268"/>
      <c r="EB84" s="268"/>
      <c r="EC84" s="268"/>
      <c r="ED84" s="268"/>
      <c r="EE84" s="268"/>
      <c r="EF84" s="268"/>
      <c r="EG84" s="268"/>
      <c r="EH84" s="268"/>
    </row>
    <row r="85" spans="1:138" ht="15.95" hidden="1" outlineLevel="1">
      <c r="A85" s="474"/>
      <c r="B85" s="609"/>
      <c r="C85" s="322" t="s">
        <v>312</v>
      </c>
      <c r="D85" s="298" t="s">
        <v>245</v>
      </c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  <c r="AI85" s="323"/>
      <c r="AJ85" s="323"/>
      <c r="AK85" s="323"/>
      <c r="AL85" s="323"/>
      <c r="AM85" s="323"/>
      <c r="AN85" s="323"/>
      <c r="AO85" s="323"/>
      <c r="AP85" s="323"/>
      <c r="AQ85" s="323"/>
      <c r="AR85" s="323"/>
      <c r="AS85" s="323"/>
      <c r="AT85" s="323"/>
      <c r="AU85" s="323"/>
      <c r="AV85" s="323"/>
      <c r="AW85" s="323"/>
      <c r="AX85" s="323"/>
      <c r="AY85" s="323"/>
      <c r="AZ85" s="323"/>
      <c r="BA85" s="323"/>
      <c r="BB85" s="323"/>
      <c r="BC85" s="323"/>
      <c r="BD85" s="323"/>
      <c r="BE85" s="323"/>
      <c r="BF85" s="323"/>
      <c r="BG85" s="323"/>
      <c r="BH85" s="323"/>
      <c r="BI85" s="323"/>
      <c r="BJ85" s="323"/>
      <c r="BK85" s="323"/>
      <c r="BL85" s="323"/>
      <c r="BM85" s="323"/>
      <c r="BN85" s="323"/>
      <c r="BO85" s="323"/>
      <c r="BP85" s="323"/>
      <c r="BQ85" s="323"/>
      <c r="BR85" s="323"/>
      <c r="BS85" s="323"/>
      <c r="BT85" s="323"/>
      <c r="BU85" s="323"/>
      <c r="BV85" s="323"/>
      <c r="BW85" s="323"/>
      <c r="BX85" s="323"/>
      <c r="BY85" s="319">
        <f t="shared" si="24"/>
        <v>0</v>
      </c>
      <c r="BZ85" s="599"/>
      <c r="CA85" s="268"/>
      <c r="CB85" s="293" t="e">
        <f t="array" aca="1" ref="CB85" ca="1">SUM(INDEX(AC85:BX85, , 1):INDEX(AC85:BX85, ,MATCH(CB43, E42:BX42,0) ))</f>
        <v>#REF!</v>
      </c>
      <c r="CC85" s="599"/>
      <c r="CD85" s="268"/>
      <c r="CE85" s="268"/>
      <c r="CF85" s="268"/>
      <c r="CG85" s="268"/>
      <c r="CH85" s="268"/>
      <c r="CI85" s="268"/>
      <c r="CJ85" s="268"/>
      <c r="CK85" s="268"/>
      <c r="CL85" s="268"/>
      <c r="CM85" s="268"/>
      <c r="CN85" s="268"/>
      <c r="CO85" s="268"/>
      <c r="CP85" s="268"/>
      <c r="CQ85" s="268"/>
      <c r="CR85" s="268"/>
      <c r="CS85" s="268"/>
      <c r="CT85" s="268"/>
      <c r="CU85" s="268"/>
      <c r="CV85" s="268"/>
      <c r="CW85" s="268"/>
      <c r="CX85" s="268"/>
      <c r="CY85" s="268"/>
      <c r="CZ85" s="268"/>
      <c r="DA85" s="268"/>
      <c r="DB85" s="268"/>
      <c r="DC85" s="268"/>
      <c r="DD85" s="268"/>
      <c r="DE85" s="268"/>
      <c r="DF85" s="268"/>
      <c r="DG85" s="268"/>
      <c r="DH85" s="268"/>
      <c r="DI85" s="268"/>
      <c r="DJ85" s="268"/>
      <c r="DK85" s="268"/>
      <c r="DL85" s="268"/>
      <c r="DM85" s="268"/>
      <c r="DN85" s="268"/>
      <c r="DO85" s="268"/>
      <c r="DP85" s="268"/>
      <c r="DQ85" s="268"/>
      <c r="DR85" s="268"/>
      <c r="DS85" s="268"/>
      <c r="DT85" s="268"/>
      <c r="DU85" s="268"/>
      <c r="DV85" s="268"/>
      <c r="DW85" s="268"/>
      <c r="DX85" s="268"/>
      <c r="DY85" s="268"/>
      <c r="DZ85" s="268"/>
      <c r="EA85" s="268"/>
      <c r="EB85" s="268"/>
      <c r="EC85" s="268"/>
      <c r="ED85" s="268"/>
      <c r="EE85" s="268"/>
      <c r="EF85" s="268"/>
      <c r="EG85" s="268"/>
      <c r="EH85" s="268"/>
    </row>
    <row r="86" spans="1:138" ht="15.95" collapsed="1">
      <c r="A86" s="474"/>
      <c r="B86" s="609"/>
      <c r="C86" s="289" t="s">
        <v>313</v>
      </c>
      <c r="D86" s="290"/>
      <c r="E86" s="291">
        <f t="shared" ref="E86:BY86" si="25">SUM(E87:E88)</f>
        <v>0</v>
      </c>
      <c r="F86" s="291">
        <f t="shared" si="25"/>
        <v>0</v>
      </c>
      <c r="G86" s="291">
        <f t="shared" si="25"/>
        <v>0</v>
      </c>
      <c r="H86" s="291">
        <f t="shared" si="25"/>
        <v>0</v>
      </c>
      <c r="I86" s="291">
        <f t="shared" si="25"/>
        <v>0</v>
      </c>
      <c r="J86" s="291">
        <f t="shared" si="25"/>
        <v>0</v>
      </c>
      <c r="K86" s="291">
        <f t="shared" si="25"/>
        <v>0</v>
      </c>
      <c r="L86" s="291">
        <f t="shared" si="25"/>
        <v>0</v>
      </c>
      <c r="M86" s="291">
        <f t="shared" si="25"/>
        <v>0</v>
      </c>
      <c r="N86" s="291">
        <f t="shared" si="25"/>
        <v>0</v>
      </c>
      <c r="O86" s="291">
        <f t="shared" si="25"/>
        <v>0</v>
      </c>
      <c r="P86" s="291">
        <f t="shared" si="25"/>
        <v>0</v>
      </c>
      <c r="Q86" s="291">
        <f t="shared" si="25"/>
        <v>0</v>
      </c>
      <c r="R86" s="291">
        <f t="shared" si="25"/>
        <v>0</v>
      </c>
      <c r="S86" s="291">
        <f t="shared" si="25"/>
        <v>0</v>
      </c>
      <c r="T86" s="291">
        <f t="shared" si="25"/>
        <v>0</v>
      </c>
      <c r="U86" s="291">
        <f t="shared" si="25"/>
        <v>0</v>
      </c>
      <c r="V86" s="291">
        <f t="shared" si="25"/>
        <v>0</v>
      </c>
      <c r="W86" s="291">
        <f t="shared" si="25"/>
        <v>0</v>
      </c>
      <c r="X86" s="291">
        <f t="shared" si="25"/>
        <v>0</v>
      </c>
      <c r="Y86" s="291">
        <f t="shared" si="25"/>
        <v>0</v>
      </c>
      <c r="Z86" s="291">
        <f t="shared" si="25"/>
        <v>0</v>
      </c>
      <c r="AA86" s="291">
        <f t="shared" si="25"/>
        <v>0</v>
      </c>
      <c r="AB86" s="291">
        <f t="shared" si="25"/>
        <v>0</v>
      </c>
      <c r="AC86" s="291">
        <f t="shared" si="25"/>
        <v>0</v>
      </c>
      <c r="AD86" s="291">
        <f t="shared" si="25"/>
        <v>0</v>
      </c>
      <c r="AE86" s="291">
        <f t="shared" si="25"/>
        <v>0</v>
      </c>
      <c r="AF86" s="291">
        <f t="shared" si="25"/>
        <v>0</v>
      </c>
      <c r="AG86" s="291">
        <f t="shared" si="25"/>
        <v>0</v>
      </c>
      <c r="AH86" s="291">
        <f t="shared" si="25"/>
        <v>0</v>
      </c>
      <c r="AI86" s="291">
        <f t="shared" si="25"/>
        <v>0</v>
      </c>
      <c r="AJ86" s="291">
        <f t="shared" si="25"/>
        <v>0</v>
      </c>
      <c r="AK86" s="291">
        <f t="shared" si="25"/>
        <v>0</v>
      </c>
      <c r="AL86" s="291">
        <f t="shared" si="25"/>
        <v>0</v>
      </c>
      <c r="AM86" s="291">
        <f t="shared" si="25"/>
        <v>0</v>
      </c>
      <c r="AN86" s="291">
        <f t="shared" si="25"/>
        <v>0</v>
      </c>
      <c r="AO86" s="291">
        <f t="shared" si="25"/>
        <v>0</v>
      </c>
      <c r="AP86" s="291">
        <f t="shared" si="25"/>
        <v>0</v>
      </c>
      <c r="AQ86" s="291">
        <f t="shared" si="25"/>
        <v>0</v>
      </c>
      <c r="AR86" s="291">
        <f t="shared" si="25"/>
        <v>0</v>
      </c>
      <c r="AS86" s="291">
        <f t="shared" si="25"/>
        <v>0</v>
      </c>
      <c r="AT86" s="291">
        <f t="shared" si="25"/>
        <v>0</v>
      </c>
      <c r="AU86" s="291">
        <f t="shared" si="25"/>
        <v>0</v>
      </c>
      <c r="AV86" s="291">
        <f t="shared" si="25"/>
        <v>0</v>
      </c>
      <c r="AW86" s="291">
        <f t="shared" si="25"/>
        <v>0</v>
      </c>
      <c r="AX86" s="291">
        <f t="shared" si="25"/>
        <v>0</v>
      </c>
      <c r="AY86" s="291">
        <f t="shared" si="25"/>
        <v>0</v>
      </c>
      <c r="AZ86" s="291">
        <f t="shared" si="25"/>
        <v>0</v>
      </c>
      <c r="BA86" s="291">
        <f t="shared" si="25"/>
        <v>0</v>
      </c>
      <c r="BB86" s="291">
        <f t="shared" si="25"/>
        <v>0</v>
      </c>
      <c r="BC86" s="291">
        <f t="shared" si="25"/>
        <v>0</v>
      </c>
      <c r="BD86" s="291">
        <f t="shared" si="25"/>
        <v>0</v>
      </c>
      <c r="BE86" s="291">
        <f t="shared" si="25"/>
        <v>0</v>
      </c>
      <c r="BF86" s="291">
        <f t="shared" si="25"/>
        <v>0</v>
      </c>
      <c r="BG86" s="291">
        <f t="shared" si="25"/>
        <v>0</v>
      </c>
      <c r="BH86" s="291">
        <f t="shared" si="25"/>
        <v>0</v>
      </c>
      <c r="BI86" s="291">
        <f t="shared" si="25"/>
        <v>0</v>
      </c>
      <c r="BJ86" s="291">
        <f t="shared" si="25"/>
        <v>0</v>
      </c>
      <c r="BK86" s="291">
        <f t="shared" si="25"/>
        <v>0</v>
      </c>
      <c r="BL86" s="291">
        <f t="shared" si="25"/>
        <v>0</v>
      </c>
      <c r="BM86" s="291">
        <f t="shared" si="25"/>
        <v>0</v>
      </c>
      <c r="BN86" s="291">
        <f t="shared" si="25"/>
        <v>0</v>
      </c>
      <c r="BO86" s="291">
        <f t="shared" si="25"/>
        <v>0</v>
      </c>
      <c r="BP86" s="291">
        <f t="shared" si="25"/>
        <v>0</v>
      </c>
      <c r="BQ86" s="291">
        <f t="shared" si="25"/>
        <v>0</v>
      </c>
      <c r="BR86" s="291">
        <f t="shared" si="25"/>
        <v>0</v>
      </c>
      <c r="BS86" s="291">
        <f t="shared" si="25"/>
        <v>0</v>
      </c>
      <c r="BT86" s="291">
        <f t="shared" si="25"/>
        <v>0</v>
      </c>
      <c r="BU86" s="291">
        <f t="shared" si="25"/>
        <v>0</v>
      </c>
      <c r="BV86" s="291">
        <f t="shared" si="25"/>
        <v>0</v>
      </c>
      <c r="BW86" s="291">
        <f t="shared" si="25"/>
        <v>0</v>
      </c>
      <c r="BX86" s="291">
        <f t="shared" si="25"/>
        <v>0</v>
      </c>
      <c r="BY86" s="292">
        <f t="shared" si="25"/>
        <v>0</v>
      </c>
      <c r="BZ86" s="599"/>
      <c r="CA86" s="268"/>
      <c r="CB86" s="293" t="e">
        <f t="array" aca="1" ref="CB86" ca="1">SUM(INDEX(E86:BX86, , 1):INDEX(E86:BX86, ,MATCH($CB$4, $E$3:$BX$3,0) ))</f>
        <v>#N/A</v>
      </c>
      <c r="CC86" s="599"/>
      <c r="CD86" s="268"/>
      <c r="CE86" s="268"/>
      <c r="CF86" s="268"/>
      <c r="CG86" s="268"/>
      <c r="CH86" s="268"/>
      <c r="CI86" s="268"/>
      <c r="CJ86" s="268"/>
      <c r="CK86" s="268"/>
      <c r="CL86" s="268"/>
      <c r="CM86" s="268"/>
      <c r="CN86" s="268"/>
      <c r="CO86" s="268"/>
      <c r="CP86" s="268"/>
      <c r="CQ86" s="268"/>
      <c r="CR86" s="268"/>
      <c r="CS86" s="268"/>
      <c r="CT86" s="268"/>
      <c r="CU86" s="268"/>
      <c r="CV86" s="268"/>
      <c r="CW86" s="268"/>
      <c r="CX86" s="268"/>
      <c r="CY86" s="268"/>
      <c r="CZ86" s="268"/>
      <c r="DA86" s="268"/>
      <c r="DB86" s="268"/>
      <c r="DC86" s="268"/>
      <c r="DD86" s="268"/>
      <c r="DE86" s="268"/>
      <c r="DF86" s="268"/>
      <c r="DG86" s="268"/>
      <c r="DH86" s="268"/>
      <c r="DI86" s="268"/>
      <c r="DJ86" s="268"/>
      <c r="DK86" s="268"/>
      <c r="DL86" s="268"/>
      <c r="DM86" s="268"/>
      <c r="DN86" s="268"/>
      <c r="DO86" s="268"/>
      <c r="DP86" s="268"/>
      <c r="DQ86" s="268"/>
      <c r="DR86" s="268"/>
      <c r="DS86" s="268"/>
      <c r="DT86" s="268"/>
      <c r="DU86" s="268"/>
      <c r="DV86" s="268"/>
      <c r="DW86" s="268"/>
      <c r="DX86" s="268"/>
      <c r="DY86" s="268"/>
      <c r="DZ86" s="268"/>
      <c r="EA86" s="268"/>
      <c r="EB86" s="268"/>
      <c r="EC86" s="268"/>
      <c r="ED86" s="268"/>
      <c r="EE86" s="268"/>
      <c r="EF86" s="268"/>
      <c r="EG86" s="268"/>
      <c r="EH86" s="268"/>
    </row>
    <row r="87" spans="1:138" ht="15.95" hidden="1" outlineLevel="1">
      <c r="A87" s="474"/>
      <c r="B87" s="609"/>
      <c r="C87" s="317" t="s">
        <v>314</v>
      </c>
      <c r="D87" s="295" t="s">
        <v>245</v>
      </c>
      <c r="E87" s="324"/>
      <c r="F87" s="324"/>
      <c r="G87" s="324"/>
      <c r="H87" s="324"/>
      <c r="I87" s="324"/>
      <c r="J87" s="324"/>
      <c r="K87" s="324"/>
      <c r="L87" s="324"/>
      <c r="M87" s="324"/>
      <c r="N87" s="324"/>
      <c r="O87" s="324"/>
      <c r="P87" s="324"/>
      <c r="Q87" s="324"/>
      <c r="R87" s="324"/>
      <c r="S87" s="324"/>
      <c r="T87" s="324"/>
      <c r="U87" s="324"/>
      <c r="V87" s="324"/>
      <c r="W87" s="324"/>
      <c r="X87" s="324"/>
      <c r="Y87" s="324"/>
      <c r="Z87" s="324"/>
      <c r="AA87" s="324"/>
      <c r="AB87" s="324"/>
      <c r="AC87" s="324"/>
      <c r="AD87" s="324"/>
      <c r="AE87" s="324"/>
      <c r="AF87" s="324"/>
      <c r="AG87" s="324"/>
      <c r="AH87" s="324"/>
      <c r="AI87" s="324"/>
      <c r="AJ87" s="324"/>
      <c r="AK87" s="324"/>
      <c r="AL87" s="324"/>
      <c r="AM87" s="324"/>
      <c r="AN87" s="324"/>
      <c r="AO87" s="324"/>
      <c r="AP87" s="324"/>
      <c r="AQ87" s="324"/>
      <c r="AR87" s="324"/>
      <c r="AS87" s="324"/>
      <c r="AT87" s="324"/>
      <c r="AU87" s="324"/>
      <c r="AV87" s="324"/>
      <c r="AW87" s="324"/>
      <c r="AX87" s="324"/>
      <c r="AY87" s="324"/>
      <c r="AZ87" s="324"/>
      <c r="BA87" s="324"/>
      <c r="BB87" s="324"/>
      <c r="BC87" s="324"/>
      <c r="BD87" s="324"/>
      <c r="BE87" s="324"/>
      <c r="BF87" s="324"/>
      <c r="BG87" s="324"/>
      <c r="BH87" s="324"/>
      <c r="BI87" s="324"/>
      <c r="BJ87" s="324"/>
      <c r="BK87" s="324"/>
      <c r="BL87" s="324"/>
      <c r="BM87" s="324"/>
      <c r="BN87" s="324"/>
      <c r="BO87" s="324"/>
      <c r="BP87" s="324"/>
      <c r="BQ87" s="324"/>
      <c r="BR87" s="324"/>
      <c r="BS87" s="324"/>
      <c r="BT87" s="324"/>
      <c r="BU87" s="324"/>
      <c r="BV87" s="324"/>
      <c r="BW87" s="324"/>
      <c r="BX87" s="324"/>
      <c r="BY87" s="325">
        <f t="shared" ref="BY87:BY88" si="26">SUM(E87:BX87)</f>
        <v>0</v>
      </c>
      <c r="BZ87" s="599"/>
      <c r="CA87" s="268"/>
      <c r="CB87" s="293" t="e">
        <f t="shared" ref="CB87:CB88" ca="1" si="27">SUM(INDEX(AC87:BX87, , 1):INDEX(AC87:BX87, ,MATCH($CB$4, $E$3:$BX$3,0) ))</f>
        <v>#N/A</v>
      </c>
      <c r="CC87" s="599"/>
      <c r="CD87" s="268"/>
      <c r="CE87" s="268"/>
      <c r="CF87" s="268"/>
      <c r="CG87" s="268"/>
      <c r="CH87" s="268"/>
      <c r="CI87" s="268"/>
      <c r="CJ87" s="268"/>
      <c r="CK87" s="268"/>
      <c r="CL87" s="268"/>
      <c r="CM87" s="268"/>
      <c r="CN87" s="268"/>
      <c r="CO87" s="268"/>
      <c r="CP87" s="268"/>
      <c r="CQ87" s="268"/>
      <c r="CR87" s="268"/>
      <c r="CS87" s="268"/>
      <c r="CT87" s="268"/>
      <c r="CU87" s="268"/>
      <c r="CV87" s="268"/>
      <c r="CW87" s="268"/>
      <c r="CX87" s="268"/>
      <c r="CY87" s="268"/>
      <c r="CZ87" s="268"/>
      <c r="DA87" s="268"/>
      <c r="DB87" s="268"/>
      <c r="DC87" s="268"/>
      <c r="DD87" s="268"/>
      <c r="DE87" s="268"/>
      <c r="DF87" s="268"/>
      <c r="DG87" s="268"/>
      <c r="DH87" s="268"/>
      <c r="DI87" s="268"/>
      <c r="DJ87" s="268"/>
      <c r="DK87" s="268"/>
      <c r="DL87" s="268"/>
      <c r="DM87" s="268"/>
      <c r="DN87" s="268"/>
      <c r="DO87" s="268"/>
      <c r="DP87" s="268"/>
      <c r="DQ87" s="268"/>
      <c r="DR87" s="268"/>
      <c r="DS87" s="268"/>
      <c r="DT87" s="268"/>
      <c r="DU87" s="268"/>
      <c r="DV87" s="268"/>
      <c r="DW87" s="268"/>
      <c r="DX87" s="268"/>
      <c r="DY87" s="268"/>
      <c r="DZ87" s="268"/>
      <c r="EA87" s="268"/>
      <c r="EB87" s="268"/>
      <c r="EC87" s="268"/>
      <c r="ED87" s="268"/>
      <c r="EE87" s="268"/>
      <c r="EF87" s="268"/>
      <c r="EG87" s="268"/>
      <c r="EH87" s="268"/>
    </row>
    <row r="88" spans="1:138" ht="15.95" hidden="1" outlineLevel="1">
      <c r="A88" s="474"/>
      <c r="B88" s="609"/>
      <c r="C88" s="322" t="s">
        <v>315</v>
      </c>
      <c r="D88" s="298" t="s">
        <v>245</v>
      </c>
      <c r="E88" s="326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/>
      <c r="AW88" s="315"/>
      <c r="AX88" s="315"/>
      <c r="AY88" s="315"/>
      <c r="AZ88" s="315"/>
      <c r="BA88" s="315"/>
      <c r="BB88" s="315"/>
      <c r="BC88" s="315"/>
      <c r="BD88" s="315"/>
      <c r="BE88" s="315"/>
      <c r="BF88" s="315"/>
      <c r="BG88" s="315"/>
      <c r="BH88" s="315"/>
      <c r="BI88" s="315"/>
      <c r="BJ88" s="315"/>
      <c r="BK88" s="315"/>
      <c r="BL88" s="315"/>
      <c r="BM88" s="315"/>
      <c r="BN88" s="315"/>
      <c r="BO88" s="315"/>
      <c r="BP88" s="315"/>
      <c r="BQ88" s="315"/>
      <c r="BR88" s="315"/>
      <c r="BS88" s="315"/>
      <c r="BT88" s="315"/>
      <c r="BU88" s="315"/>
      <c r="BV88" s="315"/>
      <c r="BW88" s="315"/>
      <c r="BX88" s="315"/>
      <c r="BY88" s="327">
        <f t="shared" si="26"/>
        <v>0</v>
      </c>
      <c r="BZ88" s="598"/>
      <c r="CA88" s="268"/>
      <c r="CB88" s="293" t="e">
        <f t="shared" ca="1" si="27"/>
        <v>#N/A</v>
      </c>
      <c r="CC88" s="598"/>
      <c r="CD88" s="268"/>
      <c r="CE88" s="268"/>
      <c r="CF88" s="268"/>
      <c r="CG88" s="268"/>
      <c r="CH88" s="268"/>
      <c r="CI88" s="268"/>
      <c r="CJ88" s="268"/>
      <c r="CK88" s="268"/>
      <c r="CL88" s="268"/>
      <c r="CM88" s="268"/>
      <c r="CN88" s="268"/>
      <c r="CO88" s="268"/>
      <c r="CP88" s="268"/>
      <c r="CQ88" s="268"/>
      <c r="CR88" s="268"/>
      <c r="CS88" s="268"/>
      <c r="CT88" s="268"/>
      <c r="CU88" s="268"/>
      <c r="CV88" s="268"/>
      <c r="CW88" s="268"/>
      <c r="CX88" s="268"/>
      <c r="CY88" s="268"/>
      <c r="CZ88" s="268"/>
      <c r="DA88" s="268"/>
      <c r="DB88" s="268"/>
      <c r="DC88" s="268"/>
      <c r="DD88" s="268"/>
      <c r="DE88" s="268"/>
      <c r="DF88" s="268"/>
      <c r="DG88" s="268"/>
      <c r="DH88" s="268"/>
      <c r="DI88" s="268"/>
      <c r="DJ88" s="268"/>
      <c r="DK88" s="268"/>
      <c r="DL88" s="268"/>
      <c r="DM88" s="268"/>
      <c r="DN88" s="268"/>
      <c r="DO88" s="268"/>
      <c r="DP88" s="268"/>
      <c r="DQ88" s="268"/>
      <c r="DR88" s="268"/>
      <c r="DS88" s="268"/>
      <c r="DT88" s="268"/>
      <c r="DU88" s="268"/>
      <c r="DV88" s="268"/>
      <c r="DW88" s="268"/>
      <c r="DX88" s="268"/>
      <c r="DY88" s="268"/>
      <c r="DZ88" s="268"/>
      <c r="EA88" s="268"/>
      <c r="EB88" s="268"/>
      <c r="EC88" s="268"/>
      <c r="ED88" s="268"/>
      <c r="EE88" s="268"/>
      <c r="EF88" s="268"/>
      <c r="EG88" s="268"/>
      <c r="EH88" s="268"/>
    </row>
    <row r="89" spans="1:138" collapsed="1">
      <c r="A89" s="474"/>
      <c r="B89" s="609"/>
      <c r="C89" s="289" t="s">
        <v>316</v>
      </c>
      <c r="D89" s="290"/>
      <c r="E89" s="291">
        <f t="shared" ref="E89:BX89" si="28">SUM(E90:E96)</f>
        <v>0</v>
      </c>
      <c r="F89" s="291">
        <f t="shared" si="28"/>
        <v>0</v>
      </c>
      <c r="G89" s="291">
        <f t="shared" si="28"/>
        <v>0</v>
      </c>
      <c r="H89" s="291">
        <f t="shared" si="28"/>
        <v>0</v>
      </c>
      <c r="I89" s="291">
        <f t="shared" si="28"/>
        <v>0</v>
      </c>
      <c r="J89" s="291">
        <f t="shared" si="28"/>
        <v>0</v>
      </c>
      <c r="K89" s="291">
        <f t="shared" si="28"/>
        <v>0</v>
      </c>
      <c r="L89" s="291">
        <f t="shared" si="28"/>
        <v>0</v>
      </c>
      <c r="M89" s="291">
        <f t="shared" si="28"/>
        <v>0</v>
      </c>
      <c r="N89" s="291">
        <f t="shared" si="28"/>
        <v>0</v>
      </c>
      <c r="O89" s="291">
        <f t="shared" si="28"/>
        <v>0</v>
      </c>
      <c r="P89" s="291">
        <f t="shared" si="28"/>
        <v>0</v>
      </c>
      <c r="Q89" s="291">
        <f t="shared" si="28"/>
        <v>0</v>
      </c>
      <c r="R89" s="291">
        <f t="shared" si="28"/>
        <v>0</v>
      </c>
      <c r="S89" s="291">
        <f t="shared" si="28"/>
        <v>0</v>
      </c>
      <c r="T89" s="291">
        <f t="shared" si="28"/>
        <v>0</v>
      </c>
      <c r="U89" s="291">
        <f t="shared" si="28"/>
        <v>0</v>
      </c>
      <c r="V89" s="291">
        <f t="shared" si="28"/>
        <v>0</v>
      </c>
      <c r="W89" s="291">
        <f t="shared" si="28"/>
        <v>0</v>
      </c>
      <c r="X89" s="291">
        <f t="shared" si="28"/>
        <v>0</v>
      </c>
      <c r="Y89" s="291">
        <f t="shared" si="28"/>
        <v>0</v>
      </c>
      <c r="Z89" s="291">
        <f t="shared" si="28"/>
        <v>0</v>
      </c>
      <c r="AA89" s="291">
        <f t="shared" si="28"/>
        <v>0</v>
      </c>
      <c r="AB89" s="291">
        <f t="shared" si="28"/>
        <v>0</v>
      </c>
      <c r="AC89" s="291">
        <f t="shared" si="28"/>
        <v>0</v>
      </c>
      <c r="AD89" s="291">
        <f t="shared" si="28"/>
        <v>0</v>
      </c>
      <c r="AE89" s="291">
        <f t="shared" si="28"/>
        <v>0</v>
      </c>
      <c r="AF89" s="291">
        <f t="shared" si="28"/>
        <v>0</v>
      </c>
      <c r="AG89" s="291">
        <f t="shared" si="28"/>
        <v>0</v>
      </c>
      <c r="AH89" s="291">
        <f t="shared" si="28"/>
        <v>0</v>
      </c>
      <c r="AI89" s="291">
        <f t="shared" si="28"/>
        <v>-145021250</v>
      </c>
      <c r="AJ89" s="291">
        <f t="shared" si="28"/>
        <v>0</v>
      </c>
      <c r="AK89" s="291">
        <f t="shared" si="28"/>
        <v>0</v>
      </c>
      <c r="AL89" s="291">
        <f t="shared" si="28"/>
        <v>0</v>
      </c>
      <c r="AM89" s="291">
        <f t="shared" si="28"/>
        <v>0</v>
      </c>
      <c r="AN89" s="291">
        <f t="shared" si="28"/>
        <v>0</v>
      </c>
      <c r="AO89" s="291">
        <f t="shared" si="28"/>
        <v>0</v>
      </c>
      <c r="AP89" s="291">
        <f t="shared" si="28"/>
        <v>0</v>
      </c>
      <c r="AQ89" s="291">
        <f t="shared" si="28"/>
        <v>0</v>
      </c>
      <c r="AR89" s="291">
        <f t="shared" si="28"/>
        <v>0</v>
      </c>
      <c r="AS89" s="291">
        <f t="shared" si="28"/>
        <v>0</v>
      </c>
      <c r="AT89" s="291">
        <f t="shared" si="28"/>
        <v>0</v>
      </c>
      <c r="AU89" s="291">
        <f t="shared" si="28"/>
        <v>0</v>
      </c>
      <c r="AV89" s="291">
        <f t="shared" si="28"/>
        <v>0</v>
      </c>
      <c r="AW89" s="291">
        <f t="shared" si="28"/>
        <v>0</v>
      </c>
      <c r="AX89" s="291">
        <f t="shared" si="28"/>
        <v>0</v>
      </c>
      <c r="AY89" s="291">
        <f t="shared" si="28"/>
        <v>0</v>
      </c>
      <c r="AZ89" s="291">
        <f t="shared" si="28"/>
        <v>0</v>
      </c>
      <c r="BA89" s="291">
        <f t="shared" si="28"/>
        <v>0</v>
      </c>
      <c r="BB89" s="291">
        <f t="shared" si="28"/>
        <v>0</v>
      </c>
      <c r="BC89" s="291">
        <f t="shared" si="28"/>
        <v>0</v>
      </c>
      <c r="BD89" s="291">
        <f t="shared" si="28"/>
        <v>0</v>
      </c>
      <c r="BE89" s="291">
        <f t="shared" si="28"/>
        <v>0</v>
      </c>
      <c r="BF89" s="291">
        <f t="shared" si="28"/>
        <v>0</v>
      </c>
      <c r="BG89" s="291">
        <f t="shared" si="28"/>
        <v>0</v>
      </c>
      <c r="BH89" s="291">
        <f t="shared" si="28"/>
        <v>0</v>
      </c>
      <c r="BI89" s="291">
        <f t="shared" si="28"/>
        <v>0</v>
      </c>
      <c r="BJ89" s="291">
        <f t="shared" si="28"/>
        <v>0</v>
      </c>
      <c r="BK89" s="291">
        <f t="shared" si="28"/>
        <v>0</v>
      </c>
      <c r="BL89" s="291">
        <f t="shared" si="28"/>
        <v>0</v>
      </c>
      <c r="BM89" s="291">
        <f t="shared" si="28"/>
        <v>0</v>
      </c>
      <c r="BN89" s="291">
        <f t="shared" si="28"/>
        <v>0</v>
      </c>
      <c r="BO89" s="291">
        <f t="shared" si="28"/>
        <v>0</v>
      </c>
      <c r="BP89" s="291">
        <f t="shared" si="28"/>
        <v>0</v>
      </c>
      <c r="BQ89" s="291">
        <f t="shared" si="28"/>
        <v>0</v>
      </c>
      <c r="BR89" s="291">
        <f t="shared" si="28"/>
        <v>0</v>
      </c>
      <c r="BS89" s="291">
        <f t="shared" si="28"/>
        <v>0</v>
      </c>
      <c r="BT89" s="291">
        <f t="shared" si="28"/>
        <v>0</v>
      </c>
      <c r="BU89" s="291">
        <f t="shared" si="28"/>
        <v>0</v>
      </c>
      <c r="BV89" s="291">
        <f t="shared" si="28"/>
        <v>0</v>
      </c>
      <c r="BW89" s="291">
        <f t="shared" si="28"/>
        <v>0</v>
      </c>
      <c r="BX89" s="291">
        <f t="shared" si="28"/>
        <v>0</v>
      </c>
      <c r="BY89" s="586">
        <f>SUM(BZ18:BZ61)</f>
        <v>-152521316.1623812</v>
      </c>
      <c r="BZ89" s="608"/>
      <c r="CA89" s="268"/>
      <c r="CB89" s="268"/>
      <c r="CC89" s="268"/>
      <c r="CD89" s="268"/>
      <c r="CE89" s="268"/>
      <c r="CF89" s="268"/>
      <c r="CG89" s="268"/>
      <c r="CH89" s="268"/>
      <c r="CI89" s="268"/>
      <c r="CJ89" s="268"/>
      <c r="CK89" s="268"/>
      <c r="CL89" s="268"/>
      <c r="CM89" s="268"/>
      <c r="CN89" s="268"/>
      <c r="CO89" s="268"/>
      <c r="CP89" s="268"/>
      <c r="CQ89" s="268"/>
      <c r="CR89" s="268"/>
      <c r="CS89" s="268"/>
      <c r="CT89" s="268"/>
      <c r="CU89" s="268"/>
      <c r="CV89" s="268"/>
      <c r="CW89" s="268"/>
      <c r="CX89" s="268"/>
      <c r="CY89" s="268"/>
      <c r="CZ89" s="268"/>
      <c r="DA89" s="268"/>
      <c r="DB89" s="268"/>
      <c r="DC89" s="268"/>
      <c r="DD89" s="268"/>
      <c r="DE89" s="268"/>
      <c r="DF89" s="268"/>
      <c r="DG89" s="268"/>
      <c r="DH89" s="268"/>
      <c r="DI89" s="268"/>
      <c r="DJ89" s="268"/>
      <c r="DK89" s="268"/>
      <c r="DL89" s="268"/>
      <c r="DM89" s="268"/>
      <c r="DN89" s="268"/>
      <c r="DO89" s="268"/>
      <c r="DP89" s="268"/>
      <c r="DQ89" s="268"/>
      <c r="DR89" s="268"/>
      <c r="DS89" s="268"/>
      <c r="DT89" s="268"/>
      <c r="DU89" s="268"/>
      <c r="DV89" s="268"/>
      <c r="DW89" s="268"/>
      <c r="DX89" s="268"/>
      <c r="DY89" s="268"/>
      <c r="DZ89" s="268"/>
      <c r="EA89" s="268"/>
      <c r="EB89" s="268"/>
      <c r="EC89" s="268"/>
      <c r="ED89" s="268"/>
      <c r="EE89" s="268"/>
      <c r="EF89" s="268"/>
      <c r="EG89" s="268"/>
      <c r="EH89" s="268"/>
    </row>
    <row r="90" spans="1:138" hidden="1" outlineLevel="1">
      <c r="A90" s="474"/>
      <c r="B90" s="609"/>
      <c r="C90" s="294" t="s">
        <v>317</v>
      </c>
      <c r="D90" s="295" t="s">
        <v>245</v>
      </c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318"/>
      <c r="BD90" s="296"/>
      <c r="BE90" s="296"/>
      <c r="BF90" s="296"/>
      <c r="BG90" s="296"/>
      <c r="BH90" s="296"/>
      <c r="BI90" s="296"/>
      <c r="BJ90" s="296"/>
      <c r="BK90" s="296"/>
      <c r="BL90" s="296"/>
      <c r="BM90" s="296"/>
      <c r="BN90" s="296"/>
      <c r="BO90" s="296"/>
      <c r="BP90" s="296"/>
      <c r="BQ90" s="296"/>
      <c r="BR90" s="296"/>
      <c r="BS90" s="296"/>
      <c r="BT90" s="296"/>
      <c r="BU90" s="296"/>
      <c r="BV90" s="296"/>
      <c r="BW90" s="296"/>
      <c r="BX90" s="301"/>
      <c r="BY90" s="325">
        <f t="shared" ref="BY90:BY96" si="29">SUM(E90:BX90)</f>
        <v>0</v>
      </c>
      <c r="BZ90" s="587">
        <f>SUM(BY90:BY96)</f>
        <v>-145021250</v>
      </c>
      <c r="CA90" s="268"/>
      <c r="CB90" s="268"/>
      <c r="CC90" s="268"/>
      <c r="CD90" s="268"/>
      <c r="CE90" s="268"/>
      <c r="CF90" s="268"/>
      <c r="CG90" s="268"/>
      <c r="CH90" s="268"/>
      <c r="CI90" s="268"/>
      <c r="CJ90" s="268"/>
      <c r="CK90" s="268"/>
      <c r="CL90" s="268"/>
      <c r="CM90" s="268"/>
      <c r="CN90" s="268"/>
      <c r="CO90" s="268"/>
      <c r="CP90" s="268"/>
      <c r="CQ90" s="268"/>
      <c r="CR90" s="268"/>
      <c r="CS90" s="268"/>
      <c r="CT90" s="268"/>
      <c r="CU90" s="268"/>
      <c r="CV90" s="268"/>
      <c r="CW90" s="268"/>
      <c r="CX90" s="268"/>
      <c r="CY90" s="268"/>
      <c r="CZ90" s="268"/>
      <c r="DA90" s="268"/>
      <c r="DB90" s="268"/>
      <c r="DC90" s="268"/>
      <c r="DD90" s="268"/>
      <c r="DE90" s="268"/>
      <c r="DF90" s="268"/>
      <c r="DG90" s="268"/>
      <c r="DH90" s="268"/>
      <c r="DI90" s="268"/>
      <c r="DJ90" s="268"/>
      <c r="DK90" s="268"/>
      <c r="DL90" s="268"/>
      <c r="DM90" s="268"/>
      <c r="DN90" s="268"/>
      <c r="DO90" s="268"/>
      <c r="DP90" s="268"/>
      <c r="DQ90" s="268"/>
      <c r="DR90" s="268"/>
      <c r="DS90" s="268"/>
      <c r="DT90" s="268"/>
      <c r="DU90" s="268"/>
      <c r="DV90" s="268"/>
      <c r="DW90" s="268"/>
      <c r="DX90" s="268"/>
      <c r="DY90" s="268"/>
      <c r="DZ90" s="268"/>
      <c r="EA90" s="268"/>
      <c r="EB90" s="268"/>
      <c r="EC90" s="268"/>
      <c r="ED90" s="268"/>
      <c r="EE90" s="268"/>
      <c r="EF90" s="268"/>
      <c r="EG90" s="268"/>
      <c r="EH90" s="268"/>
    </row>
    <row r="91" spans="1:138" hidden="1" outlineLevel="1">
      <c r="A91" s="474"/>
      <c r="B91" s="609"/>
      <c r="C91" s="294" t="s">
        <v>318</v>
      </c>
      <c r="D91" s="295" t="s">
        <v>245</v>
      </c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>
        <f>-$BY$6</f>
        <v>-50000000</v>
      </c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  <c r="BJ91" s="296"/>
      <c r="BK91" s="296"/>
      <c r="BL91" s="296"/>
      <c r="BM91" s="296"/>
      <c r="BN91" s="296"/>
      <c r="BO91" s="296"/>
      <c r="BP91" s="296"/>
      <c r="BQ91" s="296"/>
      <c r="BR91" s="296"/>
      <c r="BS91" s="296"/>
      <c r="BT91" s="296"/>
      <c r="BU91" s="296"/>
      <c r="BV91" s="296"/>
      <c r="BW91" s="296"/>
      <c r="BX91" s="301"/>
      <c r="BY91" s="319">
        <f t="shared" si="29"/>
        <v>-50000000</v>
      </c>
      <c r="BZ91" s="599"/>
      <c r="CA91" s="268"/>
      <c r="CB91" s="268"/>
      <c r="CC91" s="268"/>
      <c r="CD91" s="268"/>
      <c r="CE91" s="268"/>
      <c r="CF91" s="268"/>
      <c r="CG91" s="268"/>
      <c r="CH91" s="268"/>
      <c r="CI91" s="268"/>
      <c r="CJ91" s="268"/>
      <c r="CK91" s="268"/>
      <c r="CL91" s="268"/>
      <c r="CM91" s="268"/>
      <c r="CN91" s="268"/>
      <c r="CO91" s="268"/>
      <c r="CP91" s="268"/>
      <c r="CQ91" s="268"/>
      <c r="CR91" s="268"/>
      <c r="CS91" s="268"/>
      <c r="CT91" s="268"/>
      <c r="CU91" s="268"/>
      <c r="CV91" s="268"/>
      <c r="CW91" s="268"/>
      <c r="CX91" s="268"/>
      <c r="CY91" s="268"/>
      <c r="CZ91" s="268"/>
      <c r="DA91" s="268"/>
      <c r="DB91" s="268"/>
      <c r="DC91" s="268"/>
      <c r="DD91" s="268"/>
      <c r="DE91" s="268"/>
      <c r="DF91" s="268"/>
      <c r="DG91" s="268"/>
      <c r="DH91" s="268"/>
      <c r="DI91" s="268"/>
      <c r="DJ91" s="268"/>
      <c r="DK91" s="268"/>
      <c r="DL91" s="268"/>
      <c r="DM91" s="268"/>
      <c r="DN91" s="268"/>
      <c r="DO91" s="268"/>
      <c r="DP91" s="268"/>
      <c r="DQ91" s="268"/>
      <c r="DR91" s="268"/>
      <c r="DS91" s="268"/>
      <c r="DT91" s="268"/>
      <c r="DU91" s="268"/>
      <c r="DV91" s="268"/>
      <c r="DW91" s="268"/>
      <c r="DX91" s="268"/>
      <c r="DY91" s="268"/>
      <c r="DZ91" s="268"/>
      <c r="EA91" s="268"/>
      <c r="EB91" s="268"/>
      <c r="EC91" s="268"/>
      <c r="ED91" s="268"/>
      <c r="EE91" s="268"/>
      <c r="EF91" s="268"/>
      <c r="EG91" s="268"/>
      <c r="EH91" s="268"/>
    </row>
    <row r="92" spans="1:138" hidden="1" outlineLevel="1">
      <c r="A92" s="474"/>
      <c r="B92" s="609"/>
      <c r="C92" s="294" t="s">
        <v>319</v>
      </c>
      <c r="D92" s="295" t="s">
        <v>245</v>
      </c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  <c r="BJ92" s="296"/>
      <c r="BK92" s="296"/>
      <c r="BL92" s="296"/>
      <c r="BM92" s="296"/>
      <c r="BN92" s="296"/>
      <c r="BO92" s="296"/>
      <c r="BP92" s="296"/>
      <c r="BQ92" s="296"/>
      <c r="BR92" s="296"/>
      <c r="BS92" s="296"/>
      <c r="BT92" s="296"/>
      <c r="BU92" s="296"/>
      <c r="BV92" s="296"/>
      <c r="BW92" s="296"/>
      <c r="BX92" s="301"/>
      <c r="BY92" s="319">
        <f t="shared" si="29"/>
        <v>0</v>
      </c>
      <c r="BZ92" s="599"/>
      <c r="CA92" s="268"/>
      <c r="CB92" s="268"/>
      <c r="CC92" s="268"/>
      <c r="CD92" s="268"/>
      <c r="CE92" s="268"/>
      <c r="CF92" s="268"/>
      <c r="CG92" s="268"/>
      <c r="CH92" s="268"/>
      <c r="CI92" s="268"/>
      <c r="CJ92" s="268"/>
      <c r="CK92" s="268"/>
      <c r="CL92" s="268"/>
      <c r="CM92" s="268"/>
      <c r="CN92" s="268"/>
      <c r="CO92" s="268"/>
      <c r="CP92" s="268"/>
      <c r="CQ92" s="268"/>
      <c r="CR92" s="268"/>
      <c r="CS92" s="268"/>
      <c r="CT92" s="268"/>
      <c r="CU92" s="268"/>
      <c r="CV92" s="268"/>
      <c r="CW92" s="268"/>
      <c r="CX92" s="268"/>
      <c r="CY92" s="268"/>
      <c r="CZ92" s="268"/>
      <c r="DA92" s="268"/>
      <c r="DB92" s="268"/>
      <c r="DC92" s="268"/>
      <c r="DD92" s="268"/>
      <c r="DE92" s="268"/>
      <c r="DF92" s="268"/>
      <c r="DG92" s="268"/>
      <c r="DH92" s="268"/>
      <c r="DI92" s="268"/>
      <c r="DJ92" s="268"/>
      <c r="DK92" s="268"/>
      <c r="DL92" s="268"/>
      <c r="DM92" s="268"/>
      <c r="DN92" s="268"/>
      <c r="DO92" s="268"/>
      <c r="DP92" s="268"/>
      <c r="DQ92" s="268"/>
      <c r="DR92" s="268"/>
      <c r="DS92" s="268"/>
      <c r="DT92" s="268"/>
      <c r="DU92" s="268"/>
      <c r="DV92" s="268"/>
      <c r="DW92" s="268"/>
      <c r="DX92" s="268"/>
      <c r="DY92" s="268"/>
      <c r="DZ92" s="268"/>
      <c r="EA92" s="268"/>
      <c r="EB92" s="268"/>
      <c r="EC92" s="268"/>
      <c r="ED92" s="268"/>
      <c r="EE92" s="268"/>
      <c r="EF92" s="268"/>
      <c r="EG92" s="268"/>
      <c r="EH92" s="268"/>
    </row>
    <row r="93" spans="1:138" hidden="1" outlineLevel="1">
      <c r="A93" s="474"/>
      <c r="B93" s="609"/>
      <c r="C93" s="294" t="s">
        <v>320</v>
      </c>
      <c r="D93" s="295" t="s">
        <v>245</v>
      </c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  <c r="BJ93" s="296"/>
      <c r="BK93" s="296"/>
      <c r="BL93" s="296"/>
      <c r="BM93" s="296"/>
      <c r="BN93" s="296"/>
      <c r="BO93" s="296"/>
      <c r="BP93" s="296"/>
      <c r="BQ93" s="296"/>
      <c r="BR93" s="296"/>
      <c r="BS93" s="296"/>
      <c r="BT93" s="296"/>
      <c r="BU93" s="296"/>
      <c r="BV93" s="296"/>
      <c r="BW93" s="296"/>
      <c r="BX93" s="301"/>
      <c r="BY93" s="319">
        <f t="shared" si="29"/>
        <v>0</v>
      </c>
      <c r="BZ93" s="599"/>
      <c r="CA93" s="268"/>
      <c r="CB93" s="268"/>
      <c r="CC93" s="268"/>
      <c r="CD93" s="268"/>
      <c r="CE93" s="268"/>
      <c r="CF93" s="268"/>
      <c r="CG93" s="268"/>
      <c r="CH93" s="268"/>
      <c r="CI93" s="268"/>
      <c r="CJ93" s="268"/>
      <c r="CK93" s="268"/>
      <c r="CL93" s="268"/>
      <c r="CM93" s="268"/>
      <c r="CN93" s="268"/>
      <c r="CO93" s="268"/>
      <c r="CP93" s="268"/>
      <c r="CQ93" s="268"/>
      <c r="CR93" s="268"/>
      <c r="CS93" s="268"/>
      <c r="CT93" s="268"/>
      <c r="CU93" s="268"/>
      <c r="CV93" s="268"/>
      <c r="CW93" s="268"/>
      <c r="CX93" s="268"/>
      <c r="CY93" s="268"/>
      <c r="CZ93" s="268"/>
      <c r="DA93" s="268"/>
      <c r="DB93" s="268"/>
      <c r="DC93" s="268"/>
      <c r="DD93" s="268"/>
      <c r="DE93" s="268"/>
      <c r="DF93" s="268"/>
      <c r="DG93" s="268"/>
      <c r="DH93" s="268"/>
      <c r="DI93" s="268"/>
      <c r="DJ93" s="268"/>
      <c r="DK93" s="268"/>
      <c r="DL93" s="268"/>
      <c r="DM93" s="268"/>
      <c r="DN93" s="268"/>
      <c r="DO93" s="268"/>
      <c r="DP93" s="268"/>
      <c r="DQ93" s="268"/>
      <c r="DR93" s="268"/>
      <c r="DS93" s="268"/>
      <c r="DT93" s="268"/>
      <c r="DU93" s="268"/>
      <c r="DV93" s="268"/>
      <c r="DW93" s="268"/>
      <c r="DX93" s="268"/>
      <c r="DY93" s="268"/>
      <c r="DZ93" s="268"/>
      <c r="EA93" s="268"/>
      <c r="EB93" s="268"/>
      <c r="EC93" s="268"/>
      <c r="ED93" s="268"/>
      <c r="EE93" s="268"/>
      <c r="EF93" s="268"/>
      <c r="EG93" s="268"/>
      <c r="EH93" s="268"/>
    </row>
    <row r="94" spans="1:138" hidden="1" outlineLevel="1">
      <c r="A94" s="474"/>
      <c r="B94" s="609"/>
      <c r="C94" s="294" t="s">
        <v>321</v>
      </c>
      <c r="D94" s="295" t="s">
        <v>245</v>
      </c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318"/>
      <c r="BD94" s="296"/>
      <c r="BE94" s="296"/>
      <c r="BF94" s="296"/>
      <c r="BG94" s="296"/>
      <c r="BH94" s="296"/>
      <c r="BI94" s="296"/>
      <c r="BJ94" s="296"/>
      <c r="BK94" s="296"/>
      <c r="BL94" s="296"/>
      <c r="BM94" s="296"/>
      <c r="BN94" s="296"/>
      <c r="BO94" s="296"/>
      <c r="BP94" s="296"/>
      <c r="BQ94" s="296"/>
      <c r="BR94" s="296"/>
      <c r="BS94" s="296"/>
      <c r="BT94" s="296"/>
      <c r="BU94" s="296"/>
      <c r="BV94" s="296"/>
      <c r="BW94" s="296"/>
      <c r="BX94" s="301"/>
      <c r="BY94" s="319">
        <f t="shared" si="29"/>
        <v>0</v>
      </c>
      <c r="BZ94" s="599"/>
      <c r="CA94" s="268"/>
      <c r="CB94" s="268"/>
      <c r="CC94" s="268"/>
      <c r="CD94" s="268"/>
      <c r="CE94" s="268"/>
      <c r="CF94" s="268"/>
      <c r="CG94" s="268"/>
      <c r="CH94" s="268"/>
      <c r="CI94" s="268"/>
      <c r="CJ94" s="268"/>
      <c r="CK94" s="268"/>
      <c r="CL94" s="268"/>
      <c r="CM94" s="268"/>
      <c r="CN94" s="268"/>
      <c r="CO94" s="268"/>
      <c r="CP94" s="268"/>
      <c r="CQ94" s="268"/>
      <c r="CR94" s="268"/>
      <c r="CS94" s="268"/>
      <c r="CT94" s="268"/>
      <c r="CU94" s="268"/>
      <c r="CV94" s="268"/>
      <c r="CW94" s="268"/>
      <c r="CX94" s="268"/>
      <c r="CY94" s="268"/>
      <c r="CZ94" s="268"/>
      <c r="DA94" s="268"/>
      <c r="DB94" s="268"/>
      <c r="DC94" s="268"/>
      <c r="DD94" s="268"/>
      <c r="DE94" s="268"/>
      <c r="DF94" s="268"/>
      <c r="DG94" s="268"/>
      <c r="DH94" s="268"/>
      <c r="DI94" s="268"/>
      <c r="DJ94" s="268"/>
      <c r="DK94" s="268"/>
      <c r="DL94" s="268"/>
      <c r="DM94" s="268"/>
      <c r="DN94" s="268"/>
      <c r="DO94" s="268"/>
      <c r="DP94" s="268"/>
      <c r="DQ94" s="268"/>
      <c r="DR94" s="268"/>
      <c r="DS94" s="268"/>
      <c r="DT94" s="268"/>
      <c r="DU94" s="268"/>
      <c r="DV94" s="268"/>
      <c r="DW94" s="268"/>
      <c r="DX94" s="268"/>
      <c r="DY94" s="268"/>
      <c r="DZ94" s="268"/>
      <c r="EA94" s="268"/>
      <c r="EB94" s="268"/>
      <c r="EC94" s="268"/>
      <c r="ED94" s="268"/>
      <c r="EE94" s="268"/>
      <c r="EF94" s="268"/>
      <c r="EG94" s="268"/>
      <c r="EH94" s="268"/>
    </row>
    <row r="95" spans="1:138" hidden="1" outlineLevel="1">
      <c r="A95" s="474"/>
      <c r="B95" s="609"/>
      <c r="C95" s="294" t="s">
        <v>322</v>
      </c>
      <c r="D95" s="295" t="s">
        <v>245</v>
      </c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318"/>
      <c r="BD95" s="296"/>
      <c r="BE95" s="296"/>
      <c r="BF95" s="296"/>
      <c r="BG95" s="296"/>
      <c r="BH95" s="296"/>
      <c r="BI95" s="296"/>
      <c r="BJ95" s="296"/>
      <c r="BK95" s="296"/>
      <c r="BL95" s="296"/>
      <c r="BM95" s="296"/>
      <c r="BN95" s="296"/>
      <c r="BO95" s="296"/>
      <c r="BP95" s="296"/>
      <c r="BQ95" s="296"/>
      <c r="BR95" s="296"/>
      <c r="BS95" s="296"/>
      <c r="BT95" s="296"/>
      <c r="BU95" s="296"/>
      <c r="BV95" s="296"/>
      <c r="BW95" s="296"/>
      <c r="BX95" s="301"/>
      <c r="BY95" s="328">
        <f t="shared" si="29"/>
        <v>0</v>
      </c>
      <c r="BZ95" s="599"/>
      <c r="CA95" s="268"/>
      <c r="CB95" s="268"/>
      <c r="CC95" s="268"/>
      <c r="CD95" s="268"/>
      <c r="CE95" s="268"/>
      <c r="CF95" s="268"/>
      <c r="CG95" s="268"/>
      <c r="CH95" s="268"/>
      <c r="CI95" s="268"/>
      <c r="CJ95" s="268"/>
      <c r="CK95" s="268"/>
      <c r="CL95" s="268"/>
      <c r="CM95" s="268"/>
      <c r="CN95" s="268"/>
      <c r="CO95" s="268"/>
      <c r="CP95" s="268"/>
      <c r="CQ95" s="268"/>
      <c r="CR95" s="268"/>
      <c r="CS95" s="268"/>
      <c r="CT95" s="268"/>
      <c r="CU95" s="268"/>
      <c r="CV95" s="268"/>
      <c r="CW95" s="268"/>
      <c r="CX95" s="268"/>
      <c r="CY95" s="268"/>
      <c r="CZ95" s="268"/>
      <c r="DA95" s="268"/>
      <c r="DB95" s="268"/>
      <c r="DC95" s="268"/>
      <c r="DD95" s="268"/>
      <c r="DE95" s="268"/>
      <c r="DF95" s="268"/>
      <c r="DG95" s="268"/>
      <c r="DH95" s="268"/>
      <c r="DI95" s="268"/>
      <c r="DJ95" s="268"/>
      <c r="DK95" s="268"/>
      <c r="DL95" s="268"/>
      <c r="DM95" s="268"/>
      <c r="DN95" s="268"/>
      <c r="DO95" s="268"/>
      <c r="DP95" s="268"/>
      <c r="DQ95" s="268"/>
      <c r="DR95" s="268"/>
      <c r="DS95" s="268"/>
      <c r="DT95" s="268"/>
      <c r="DU95" s="268"/>
      <c r="DV95" s="268"/>
      <c r="DW95" s="268"/>
      <c r="DX95" s="268"/>
      <c r="DY95" s="268"/>
      <c r="DZ95" s="268"/>
      <c r="EA95" s="268"/>
      <c r="EB95" s="268"/>
      <c r="EC95" s="268"/>
      <c r="ED95" s="268"/>
      <c r="EE95" s="268"/>
      <c r="EF95" s="268"/>
      <c r="EG95" s="268"/>
      <c r="EH95" s="268"/>
    </row>
    <row r="96" spans="1:138" hidden="1" outlineLevel="1">
      <c r="A96" s="474"/>
      <c r="B96" s="610"/>
      <c r="C96" s="511" t="s">
        <v>323</v>
      </c>
      <c r="D96" s="513" t="s">
        <v>245</v>
      </c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314"/>
      <c r="AI96" s="314">
        <f>-$BZ$9</f>
        <v>-95021250</v>
      </c>
      <c r="AJ96" s="314"/>
      <c r="AK96" s="314"/>
      <c r="AL96" s="314"/>
      <c r="AM96" s="314"/>
      <c r="AN96" s="314"/>
      <c r="AO96" s="314"/>
      <c r="AP96" s="314"/>
      <c r="AQ96" s="314"/>
      <c r="AR96" s="314"/>
      <c r="AS96" s="314"/>
      <c r="AT96" s="314"/>
      <c r="AU96" s="314"/>
      <c r="AV96" s="314"/>
      <c r="AW96" s="314"/>
      <c r="AX96" s="314"/>
      <c r="AY96" s="314"/>
      <c r="AZ96" s="314"/>
      <c r="BA96" s="314"/>
      <c r="BB96" s="314"/>
      <c r="BC96" s="314"/>
      <c r="BD96" s="314"/>
      <c r="BE96" s="314"/>
      <c r="BF96" s="314"/>
      <c r="BG96" s="314"/>
      <c r="BH96" s="314"/>
      <c r="BI96" s="314"/>
      <c r="BJ96" s="314"/>
      <c r="BK96" s="314"/>
      <c r="BL96" s="314"/>
      <c r="BM96" s="314"/>
      <c r="BN96" s="314"/>
      <c r="BO96" s="314"/>
      <c r="BP96" s="314"/>
      <c r="BQ96" s="314"/>
      <c r="BR96" s="314"/>
      <c r="BS96" s="314"/>
      <c r="BT96" s="314"/>
      <c r="BU96" s="314"/>
      <c r="BV96" s="314"/>
      <c r="BW96" s="314"/>
      <c r="BX96" s="315"/>
      <c r="BY96" s="305">
        <f t="shared" si="29"/>
        <v>-95021250</v>
      </c>
      <c r="BZ96" s="611"/>
      <c r="CA96" s="268"/>
      <c r="CB96" s="268"/>
      <c r="CC96" s="268"/>
      <c r="CD96" s="268"/>
      <c r="CE96" s="268"/>
      <c r="CF96" s="268"/>
      <c r="CG96" s="268"/>
      <c r="CH96" s="268"/>
      <c r="CI96" s="268"/>
      <c r="CJ96" s="268"/>
      <c r="CK96" s="268"/>
      <c r="CL96" s="268"/>
      <c r="CM96" s="268"/>
      <c r="CN96" s="268"/>
      <c r="CO96" s="268"/>
      <c r="CP96" s="268"/>
      <c r="CQ96" s="268"/>
      <c r="CR96" s="268"/>
      <c r="CS96" s="268"/>
      <c r="CT96" s="268"/>
      <c r="CU96" s="268"/>
      <c r="CV96" s="268"/>
      <c r="CW96" s="268"/>
      <c r="CX96" s="268"/>
      <c r="CY96" s="268"/>
      <c r="CZ96" s="268"/>
      <c r="DA96" s="268"/>
      <c r="DB96" s="268"/>
      <c r="DC96" s="268"/>
      <c r="DD96" s="268"/>
      <c r="DE96" s="268"/>
      <c r="DF96" s="268"/>
      <c r="DG96" s="268"/>
      <c r="DH96" s="268"/>
      <c r="DI96" s="268"/>
      <c r="DJ96" s="268"/>
      <c r="DK96" s="268"/>
      <c r="DL96" s="268"/>
      <c r="DM96" s="268"/>
      <c r="DN96" s="268"/>
      <c r="DO96" s="268"/>
      <c r="DP96" s="268"/>
      <c r="DQ96" s="268"/>
      <c r="DR96" s="268"/>
      <c r="DS96" s="268"/>
      <c r="DT96" s="268"/>
      <c r="DU96" s="268"/>
      <c r="DV96" s="268"/>
      <c r="DW96" s="268"/>
      <c r="DX96" s="268"/>
      <c r="DY96" s="268"/>
      <c r="DZ96" s="268"/>
      <c r="EA96" s="268"/>
      <c r="EB96" s="268"/>
      <c r="EC96" s="268"/>
      <c r="ED96" s="268"/>
      <c r="EE96" s="268"/>
      <c r="EF96" s="268"/>
      <c r="EG96" s="268"/>
      <c r="EH96" s="268"/>
    </row>
    <row r="97" spans="1:138" ht="15.95">
      <c r="A97" s="474"/>
      <c r="B97" s="577" t="s">
        <v>324</v>
      </c>
      <c r="C97" s="598"/>
      <c r="D97" s="514" t="s">
        <v>245</v>
      </c>
      <c r="E97" s="329">
        <f t="shared" ref="E97:AJ97" si="30">(E18+E25+E28+E36+E39+E48+E54+E62+E86+E89)</f>
        <v>0</v>
      </c>
      <c r="F97" s="329">
        <f t="shared" si="30"/>
        <v>0</v>
      </c>
      <c r="G97" s="329">
        <f t="shared" si="30"/>
        <v>0</v>
      </c>
      <c r="H97" s="329">
        <f t="shared" si="30"/>
        <v>0</v>
      </c>
      <c r="I97" s="329">
        <f t="shared" si="30"/>
        <v>0</v>
      </c>
      <c r="J97" s="329">
        <f t="shared" si="30"/>
        <v>0</v>
      </c>
      <c r="K97" s="329">
        <f t="shared" si="30"/>
        <v>0</v>
      </c>
      <c r="L97" s="329">
        <f t="shared" si="30"/>
        <v>0</v>
      </c>
      <c r="M97" s="329">
        <f t="shared" si="30"/>
        <v>0</v>
      </c>
      <c r="N97" s="329">
        <f t="shared" si="30"/>
        <v>0</v>
      </c>
      <c r="O97" s="329">
        <f t="shared" si="30"/>
        <v>0</v>
      </c>
      <c r="P97" s="329">
        <f t="shared" si="30"/>
        <v>0</v>
      </c>
      <c r="Q97" s="329">
        <f t="shared" si="30"/>
        <v>0</v>
      </c>
      <c r="R97" s="329">
        <f t="shared" si="30"/>
        <v>0</v>
      </c>
      <c r="S97" s="329">
        <f t="shared" si="30"/>
        <v>0</v>
      </c>
      <c r="T97" s="329">
        <f t="shared" si="30"/>
        <v>0</v>
      </c>
      <c r="U97" s="329">
        <f t="shared" si="30"/>
        <v>-19172867.768595044</v>
      </c>
      <c r="V97" s="329">
        <f t="shared" si="30"/>
        <v>-9158845.1404958647</v>
      </c>
      <c r="W97" s="329">
        <f t="shared" si="30"/>
        <v>-801633.73321398592</v>
      </c>
      <c r="X97" s="329">
        <f t="shared" si="30"/>
        <v>-1986881.1527230768</v>
      </c>
      <c r="Y97" s="329">
        <f t="shared" si="30"/>
        <v>-11273386.090123076</v>
      </c>
      <c r="Z97" s="329">
        <f t="shared" si="30"/>
        <v>-11500737.262298223</v>
      </c>
      <c r="AA97" s="329">
        <f t="shared" si="30"/>
        <v>-11146719.42345641</v>
      </c>
      <c r="AB97" s="329">
        <f t="shared" si="30"/>
        <v>-11197136.090123076</v>
      </c>
      <c r="AC97" s="329">
        <f t="shared" si="30"/>
        <v>-11247552.756789742</v>
      </c>
      <c r="AD97" s="329">
        <f t="shared" si="30"/>
        <v>-11297969.42345641</v>
      </c>
      <c r="AE97" s="329">
        <f t="shared" si="30"/>
        <v>-11348386.090123076</v>
      </c>
      <c r="AF97" s="329">
        <f t="shared" si="30"/>
        <v>-11398802.756789742</v>
      </c>
      <c r="AG97" s="329">
        <f t="shared" si="30"/>
        <v>-11449219.42345641</v>
      </c>
      <c r="AH97" s="329">
        <f t="shared" si="30"/>
        <v>-11605969.887723077</v>
      </c>
      <c r="AI97" s="329">
        <f t="shared" si="30"/>
        <v>-152956459.16301399</v>
      </c>
      <c r="AJ97" s="329">
        <f t="shared" si="30"/>
        <v>0</v>
      </c>
      <c r="AK97" s="329">
        <f t="shared" ref="AK97:BP97" si="31">(AK18+AK25+AK28+AK36+AK39+AK48+AK54+AK62+AK86+AK89)</f>
        <v>0</v>
      </c>
      <c r="AL97" s="329">
        <f t="shared" si="31"/>
        <v>0</v>
      </c>
      <c r="AM97" s="329">
        <f t="shared" si="31"/>
        <v>0</v>
      </c>
      <c r="AN97" s="329">
        <f t="shared" si="31"/>
        <v>0</v>
      </c>
      <c r="AO97" s="329">
        <f t="shared" si="31"/>
        <v>0</v>
      </c>
      <c r="AP97" s="329">
        <f t="shared" si="31"/>
        <v>0</v>
      </c>
      <c r="AQ97" s="329">
        <f t="shared" si="31"/>
        <v>0</v>
      </c>
      <c r="AR97" s="329">
        <f t="shared" si="31"/>
        <v>0</v>
      </c>
      <c r="AS97" s="329">
        <f t="shared" si="31"/>
        <v>0</v>
      </c>
      <c r="AT97" s="329">
        <f t="shared" si="31"/>
        <v>0</v>
      </c>
      <c r="AU97" s="329">
        <f t="shared" si="31"/>
        <v>0</v>
      </c>
      <c r="AV97" s="329">
        <f t="shared" si="31"/>
        <v>0</v>
      </c>
      <c r="AW97" s="329">
        <f t="shared" si="31"/>
        <v>0</v>
      </c>
      <c r="AX97" s="329">
        <f t="shared" si="31"/>
        <v>0</v>
      </c>
      <c r="AY97" s="329">
        <f t="shared" si="31"/>
        <v>0</v>
      </c>
      <c r="AZ97" s="329">
        <f t="shared" si="31"/>
        <v>0</v>
      </c>
      <c r="BA97" s="329">
        <f t="shared" si="31"/>
        <v>0</v>
      </c>
      <c r="BB97" s="329">
        <f t="shared" si="31"/>
        <v>0</v>
      </c>
      <c r="BC97" s="329">
        <f t="shared" si="31"/>
        <v>0</v>
      </c>
      <c r="BD97" s="329">
        <f t="shared" si="31"/>
        <v>0</v>
      </c>
      <c r="BE97" s="329">
        <f t="shared" si="31"/>
        <v>0</v>
      </c>
      <c r="BF97" s="329">
        <f t="shared" si="31"/>
        <v>0</v>
      </c>
      <c r="BG97" s="329">
        <f t="shared" si="31"/>
        <v>0</v>
      </c>
      <c r="BH97" s="329">
        <f t="shared" si="31"/>
        <v>0</v>
      </c>
      <c r="BI97" s="329">
        <f t="shared" si="31"/>
        <v>0</v>
      </c>
      <c r="BJ97" s="329">
        <f t="shared" si="31"/>
        <v>0</v>
      </c>
      <c r="BK97" s="329">
        <f t="shared" si="31"/>
        <v>0</v>
      </c>
      <c r="BL97" s="329">
        <f t="shared" si="31"/>
        <v>0</v>
      </c>
      <c r="BM97" s="329">
        <f t="shared" si="31"/>
        <v>0</v>
      </c>
      <c r="BN97" s="329">
        <f t="shared" si="31"/>
        <v>0</v>
      </c>
      <c r="BO97" s="329">
        <f t="shared" si="31"/>
        <v>0</v>
      </c>
      <c r="BP97" s="329">
        <f t="shared" si="31"/>
        <v>0</v>
      </c>
      <c r="BQ97" s="329">
        <f t="shared" ref="BQ97:BX97" si="32">(BQ18+BQ25+BQ28+BQ36+BQ39+BQ48+BQ54+BQ62+BQ86+BQ89)</f>
        <v>0</v>
      </c>
      <c r="BR97" s="329">
        <f t="shared" si="32"/>
        <v>0</v>
      </c>
      <c r="BS97" s="329">
        <f t="shared" si="32"/>
        <v>0</v>
      </c>
      <c r="BT97" s="329">
        <f t="shared" si="32"/>
        <v>0</v>
      </c>
      <c r="BU97" s="329">
        <f t="shared" si="32"/>
        <v>0</v>
      </c>
      <c r="BV97" s="329">
        <f t="shared" si="32"/>
        <v>0</v>
      </c>
      <c r="BW97" s="329">
        <f t="shared" si="32"/>
        <v>0</v>
      </c>
      <c r="BX97" s="329">
        <f t="shared" si="32"/>
        <v>0</v>
      </c>
      <c r="BY97" s="580">
        <f>BZ90</f>
        <v>-145021250</v>
      </c>
      <c r="BZ97" s="610"/>
      <c r="CA97" s="268"/>
      <c r="CB97" s="268"/>
      <c r="CC97" s="268"/>
      <c r="CD97" s="268"/>
      <c r="CE97" s="268"/>
      <c r="CF97" s="268"/>
      <c r="CG97" s="268"/>
      <c r="CH97" s="268"/>
      <c r="CI97" s="268"/>
      <c r="CJ97" s="268"/>
      <c r="CK97" s="268"/>
      <c r="CL97" s="268"/>
      <c r="CM97" s="268"/>
      <c r="CN97" s="268"/>
      <c r="CO97" s="268"/>
      <c r="CP97" s="268"/>
      <c r="CQ97" s="268"/>
      <c r="CR97" s="268"/>
      <c r="CS97" s="268"/>
      <c r="CT97" s="268"/>
      <c r="CU97" s="268"/>
      <c r="CV97" s="268"/>
      <c r="CW97" s="268"/>
      <c r="CX97" s="268"/>
      <c r="CY97" s="268"/>
      <c r="CZ97" s="268"/>
      <c r="DA97" s="268"/>
      <c r="DB97" s="268"/>
      <c r="DC97" s="268"/>
      <c r="DD97" s="268"/>
      <c r="DE97" s="268"/>
      <c r="DF97" s="268"/>
      <c r="DG97" s="268"/>
      <c r="DH97" s="268"/>
      <c r="DI97" s="268"/>
      <c r="DJ97" s="268"/>
      <c r="DK97" s="268"/>
      <c r="DL97" s="268"/>
      <c r="DM97" s="268"/>
      <c r="DN97" s="268"/>
      <c r="DO97" s="268"/>
      <c r="DP97" s="268"/>
      <c r="DQ97" s="268"/>
      <c r="DR97" s="268"/>
      <c r="DS97" s="268"/>
      <c r="DT97" s="268"/>
      <c r="DU97" s="268"/>
      <c r="DV97" s="268"/>
      <c r="DW97" s="268"/>
      <c r="DX97" s="268"/>
      <c r="DY97" s="268"/>
      <c r="DZ97" s="268"/>
      <c r="EA97" s="268"/>
      <c r="EB97" s="268"/>
      <c r="EC97" s="268"/>
      <c r="ED97" s="268"/>
      <c r="EE97" s="268"/>
      <c r="EF97" s="268"/>
      <c r="EG97" s="268"/>
      <c r="EH97" s="268"/>
    </row>
    <row r="98" spans="1:138" ht="15.95">
      <c r="A98" s="474"/>
      <c r="B98" s="571" t="s">
        <v>325</v>
      </c>
      <c r="C98" s="598"/>
      <c r="D98" s="330"/>
      <c r="E98" s="331">
        <f t="shared" ref="E98:AJ98" si="33">E17+E97</f>
        <v>0</v>
      </c>
      <c r="F98" s="331">
        <f t="shared" si="33"/>
        <v>0</v>
      </c>
      <c r="G98" s="331">
        <f t="shared" si="33"/>
        <v>0</v>
      </c>
      <c r="H98" s="331">
        <f t="shared" si="33"/>
        <v>0</v>
      </c>
      <c r="I98" s="331">
        <f t="shared" si="33"/>
        <v>0</v>
      </c>
      <c r="J98" s="331">
        <f t="shared" si="33"/>
        <v>0</v>
      </c>
      <c r="K98" s="331">
        <f t="shared" si="33"/>
        <v>0</v>
      </c>
      <c r="L98" s="331">
        <f t="shared" si="33"/>
        <v>0</v>
      </c>
      <c r="M98" s="332">
        <f t="shared" si="33"/>
        <v>0</v>
      </c>
      <c r="N98" s="331">
        <f t="shared" si="33"/>
        <v>0</v>
      </c>
      <c r="O98" s="332">
        <f t="shared" si="33"/>
        <v>0</v>
      </c>
      <c r="P98" s="332">
        <f t="shared" si="33"/>
        <v>0</v>
      </c>
      <c r="Q98" s="332">
        <f t="shared" si="33"/>
        <v>0</v>
      </c>
      <c r="R98" s="332">
        <f t="shared" si="33"/>
        <v>0</v>
      </c>
      <c r="S98" s="332">
        <f t="shared" si="33"/>
        <v>0</v>
      </c>
      <c r="T98" s="332">
        <f t="shared" si="33"/>
        <v>0</v>
      </c>
      <c r="U98" s="331">
        <f t="shared" si="33"/>
        <v>1800829.9999999963</v>
      </c>
      <c r="V98" s="331">
        <f t="shared" si="33"/>
        <v>-555671.29768594541</v>
      </c>
      <c r="W98" s="331">
        <f t="shared" si="33"/>
        <v>30252.273720167927</v>
      </c>
      <c r="X98" s="332">
        <f t="shared" si="33"/>
        <v>1519231.2847092091</v>
      </c>
      <c r="Y98" s="332">
        <f t="shared" si="33"/>
        <v>-1751775.9554739855</v>
      </c>
      <c r="Z98" s="332">
        <f t="shared" si="33"/>
        <v>-207308.50288555399</v>
      </c>
      <c r="AA98" s="332">
        <f t="shared" si="33"/>
        <v>-31386.090123075992</v>
      </c>
      <c r="AB98" s="332">
        <f t="shared" si="33"/>
        <v>-31386.090123075992</v>
      </c>
      <c r="AC98" s="331">
        <f t="shared" si="33"/>
        <v>-73386.090123075992</v>
      </c>
      <c r="AD98" s="332">
        <f t="shared" si="33"/>
        <v>-73386.090123075992</v>
      </c>
      <c r="AE98" s="332">
        <f t="shared" si="33"/>
        <v>-73386.090123075992</v>
      </c>
      <c r="AF98" s="332">
        <f t="shared" si="33"/>
        <v>-73386.090123075992</v>
      </c>
      <c r="AG98" s="332">
        <f t="shared" si="33"/>
        <v>-73386.090123075992</v>
      </c>
      <c r="AH98" s="332">
        <f t="shared" si="33"/>
        <v>-202049.98521907814</v>
      </c>
      <c r="AI98" s="332">
        <f t="shared" si="33"/>
        <v>49825435.794172674</v>
      </c>
      <c r="AJ98" s="332">
        <f t="shared" si="33"/>
        <v>0</v>
      </c>
      <c r="AK98" s="332">
        <f t="shared" ref="AK98:BP98" si="34">AK17+AK97</f>
        <v>0</v>
      </c>
      <c r="AL98" s="332">
        <f t="shared" si="34"/>
        <v>0</v>
      </c>
      <c r="AM98" s="332">
        <f t="shared" si="34"/>
        <v>0</v>
      </c>
      <c r="AN98" s="332">
        <f t="shared" si="34"/>
        <v>0</v>
      </c>
      <c r="AO98" s="331">
        <f t="shared" si="34"/>
        <v>0</v>
      </c>
      <c r="AP98" s="332">
        <f t="shared" si="34"/>
        <v>0</v>
      </c>
      <c r="AQ98" s="332">
        <f t="shared" si="34"/>
        <v>0</v>
      </c>
      <c r="AR98" s="332">
        <f t="shared" si="34"/>
        <v>0</v>
      </c>
      <c r="AS98" s="331">
        <f t="shared" si="34"/>
        <v>0</v>
      </c>
      <c r="AT98" s="331">
        <f t="shared" si="34"/>
        <v>0</v>
      </c>
      <c r="AU98" s="331">
        <f t="shared" si="34"/>
        <v>0</v>
      </c>
      <c r="AV98" s="331">
        <f t="shared" si="34"/>
        <v>0</v>
      </c>
      <c r="AW98" s="331">
        <f t="shared" si="34"/>
        <v>0</v>
      </c>
      <c r="AX98" s="331">
        <f t="shared" si="34"/>
        <v>0</v>
      </c>
      <c r="AY98" s="331">
        <f t="shared" si="34"/>
        <v>0</v>
      </c>
      <c r="AZ98" s="331">
        <f t="shared" si="34"/>
        <v>0</v>
      </c>
      <c r="BA98" s="331">
        <f t="shared" si="34"/>
        <v>0</v>
      </c>
      <c r="BB98" s="331">
        <f t="shared" si="34"/>
        <v>0</v>
      </c>
      <c r="BC98" s="331">
        <f t="shared" si="34"/>
        <v>0</v>
      </c>
      <c r="BD98" s="331">
        <f t="shared" si="34"/>
        <v>0</v>
      </c>
      <c r="BE98" s="331">
        <f t="shared" si="34"/>
        <v>0</v>
      </c>
      <c r="BF98" s="331">
        <f t="shared" si="34"/>
        <v>0</v>
      </c>
      <c r="BG98" s="331">
        <f t="shared" si="34"/>
        <v>0</v>
      </c>
      <c r="BH98" s="331">
        <f t="shared" si="34"/>
        <v>0</v>
      </c>
      <c r="BI98" s="331">
        <f t="shared" si="34"/>
        <v>0</v>
      </c>
      <c r="BJ98" s="331">
        <f t="shared" si="34"/>
        <v>0</v>
      </c>
      <c r="BK98" s="331">
        <f t="shared" si="34"/>
        <v>0</v>
      </c>
      <c r="BL98" s="333">
        <f t="shared" si="34"/>
        <v>0</v>
      </c>
      <c r="BM98" s="333">
        <f t="shared" si="34"/>
        <v>0</v>
      </c>
      <c r="BN98" s="333">
        <f t="shared" si="34"/>
        <v>0</v>
      </c>
      <c r="BO98" s="333">
        <f t="shared" si="34"/>
        <v>0</v>
      </c>
      <c r="BP98" s="333">
        <f t="shared" si="34"/>
        <v>0</v>
      </c>
      <c r="BQ98" s="333">
        <f t="shared" ref="BQ98:BX98" si="35">BQ17+BQ97</f>
        <v>0</v>
      </c>
      <c r="BR98" s="333">
        <f t="shared" si="35"/>
        <v>0</v>
      </c>
      <c r="BS98" s="333">
        <f t="shared" si="35"/>
        <v>0</v>
      </c>
      <c r="BT98" s="333">
        <f t="shared" si="35"/>
        <v>0</v>
      </c>
      <c r="BU98" s="333">
        <f t="shared" si="35"/>
        <v>0</v>
      </c>
      <c r="BV98" s="333">
        <f t="shared" si="35"/>
        <v>0</v>
      </c>
      <c r="BW98" s="333">
        <f t="shared" si="35"/>
        <v>0</v>
      </c>
      <c r="BX98" s="333">
        <f t="shared" si="35"/>
        <v>0</v>
      </c>
      <c r="BY98" s="581">
        <f>BY17+BY89+BY97</f>
        <v>50029240.980475932</v>
      </c>
      <c r="BZ98" s="612"/>
      <c r="CA98" s="268"/>
      <c r="CB98" s="268"/>
      <c r="CC98" s="268"/>
      <c r="CD98" s="268"/>
      <c r="CE98" s="268"/>
      <c r="CF98" s="268"/>
      <c r="CG98" s="268"/>
      <c r="CH98" s="268"/>
      <c r="CI98" s="268"/>
      <c r="CJ98" s="268"/>
      <c r="CK98" s="268"/>
      <c r="CL98" s="268"/>
      <c r="CM98" s="268"/>
      <c r="CN98" s="268"/>
      <c r="CO98" s="268"/>
      <c r="CP98" s="268"/>
      <c r="CQ98" s="268"/>
      <c r="CR98" s="268"/>
      <c r="CS98" s="268"/>
      <c r="CT98" s="268"/>
      <c r="CU98" s="268"/>
      <c r="CV98" s="268"/>
      <c r="CW98" s="268"/>
      <c r="CX98" s="268"/>
      <c r="CY98" s="268"/>
      <c r="CZ98" s="268"/>
      <c r="DA98" s="268"/>
      <c r="DB98" s="268"/>
      <c r="DC98" s="268"/>
      <c r="DD98" s="268"/>
      <c r="DE98" s="268"/>
      <c r="DF98" s="268"/>
      <c r="DG98" s="268"/>
      <c r="DH98" s="268"/>
      <c r="DI98" s="268"/>
      <c r="DJ98" s="268"/>
      <c r="DK98" s="268"/>
      <c r="DL98" s="268"/>
      <c r="DM98" s="268"/>
      <c r="DN98" s="268"/>
      <c r="DO98" s="268"/>
      <c r="DP98" s="268"/>
      <c r="DQ98" s="268"/>
      <c r="DR98" s="268"/>
      <c r="DS98" s="268"/>
      <c r="DT98" s="268"/>
      <c r="DU98" s="268"/>
      <c r="DV98" s="268"/>
      <c r="DW98" s="268"/>
      <c r="DX98" s="268"/>
      <c r="DY98" s="268"/>
      <c r="DZ98" s="268"/>
      <c r="EA98" s="268"/>
      <c r="EB98" s="268"/>
      <c r="EC98" s="268"/>
      <c r="ED98" s="268"/>
      <c r="EE98" s="268"/>
      <c r="EF98" s="268"/>
      <c r="EG98" s="268"/>
      <c r="EH98" s="268"/>
    </row>
    <row r="99" spans="1:138">
      <c r="A99" s="474"/>
      <c r="B99" s="572" t="s">
        <v>326</v>
      </c>
      <c r="C99" s="598"/>
      <c r="D99" s="334"/>
      <c r="E99" s="335">
        <f>E98</f>
        <v>0</v>
      </c>
      <c r="F99" s="335">
        <f t="shared" ref="F99:BX99" si="36">F98+E99</f>
        <v>0</v>
      </c>
      <c r="G99" s="335">
        <f t="shared" si="36"/>
        <v>0</v>
      </c>
      <c r="H99" s="335">
        <f t="shared" si="36"/>
        <v>0</v>
      </c>
      <c r="I99" s="335">
        <f t="shared" si="36"/>
        <v>0</v>
      </c>
      <c r="J99" s="335">
        <f t="shared" si="36"/>
        <v>0</v>
      </c>
      <c r="K99" s="335">
        <f t="shared" si="36"/>
        <v>0</v>
      </c>
      <c r="L99" s="335">
        <f t="shared" si="36"/>
        <v>0</v>
      </c>
      <c r="M99" s="335">
        <f t="shared" si="36"/>
        <v>0</v>
      </c>
      <c r="N99" s="335">
        <f t="shared" si="36"/>
        <v>0</v>
      </c>
      <c r="O99" s="335">
        <f t="shared" si="36"/>
        <v>0</v>
      </c>
      <c r="P99" s="335">
        <f t="shared" si="36"/>
        <v>0</v>
      </c>
      <c r="Q99" s="335">
        <f t="shared" si="36"/>
        <v>0</v>
      </c>
      <c r="R99" s="335">
        <f t="shared" si="36"/>
        <v>0</v>
      </c>
      <c r="S99" s="335">
        <f t="shared" si="36"/>
        <v>0</v>
      </c>
      <c r="T99" s="335">
        <f t="shared" si="36"/>
        <v>0</v>
      </c>
      <c r="U99" s="335">
        <f t="shared" si="36"/>
        <v>1800829.9999999963</v>
      </c>
      <c r="V99" s="335">
        <f t="shared" si="36"/>
        <v>1245158.7023140509</v>
      </c>
      <c r="W99" s="335">
        <f t="shared" si="36"/>
        <v>1275410.9760342189</v>
      </c>
      <c r="X99" s="335">
        <f t="shared" si="36"/>
        <v>2794642.260743428</v>
      </c>
      <c r="Y99" s="335">
        <f t="shared" si="36"/>
        <v>1042866.3052694425</v>
      </c>
      <c r="Z99" s="335">
        <f t="shared" si="36"/>
        <v>835557.80238388851</v>
      </c>
      <c r="AA99" s="335">
        <f t="shared" si="36"/>
        <v>804171.71226081252</v>
      </c>
      <c r="AB99" s="335">
        <f t="shared" si="36"/>
        <v>772785.62213773653</v>
      </c>
      <c r="AC99" s="335">
        <f t="shared" si="36"/>
        <v>699399.53201466054</v>
      </c>
      <c r="AD99" s="335">
        <f t="shared" si="36"/>
        <v>626013.44189158455</v>
      </c>
      <c r="AE99" s="335">
        <f t="shared" si="36"/>
        <v>552627.35176850855</v>
      </c>
      <c r="AF99" s="335">
        <f t="shared" si="36"/>
        <v>479241.26164543256</v>
      </c>
      <c r="AG99" s="335">
        <f t="shared" si="36"/>
        <v>405855.17152235657</v>
      </c>
      <c r="AH99" s="335">
        <f t="shared" si="36"/>
        <v>203805.18630327843</v>
      </c>
      <c r="AI99" s="335">
        <f t="shared" si="36"/>
        <v>50029240.980475955</v>
      </c>
      <c r="AJ99" s="335">
        <f t="shared" si="36"/>
        <v>50029240.980475955</v>
      </c>
      <c r="AK99" s="335">
        <f t="shared" si="36"/>
        <v>50029240.980475955</v>
      </c>
      <c r="AL99" s="335">
        <f t="shared" si="36"/>
        <v>50029240.980475955</v>
      </c>
      <c r="AM99" s="335">
        <f t="shared" si="36"/>
        <v>50029240.980475955</v>
      </c>
      <c r="AN99" s="335">
        <f t="shared" si="36"/>
        <v>50029240.980475955</v>
      </c>
      <c r="AO99" s="335">
        <f t="shared" si="36"/>
        <v>50029240.980475955</v>
      </c>
      <c r="AP99" s="335">
        <f t="shared" si="36"/>
        <v>50029240.980475955</v>
      </c>
      <c r="AQ99" s="335">
        <f t="shared" si="36"/>
        <v>50029240.980475955</v>
      </c>
      <c r="AR99" s="335">
        <f t="shared" si="36"/>
        <v>50029240.980475955</v>
      </c>
      <c r="AS99" s="335">
        <f t="shared" si="36"/>
        <v>50029240.980475955</v>
      </c>
      <c r="AT99" s="335">
        <f t="shared" si="36"/>
        <v>50029240.980475955</v>
      </c>
      <c r="AU99" s="335">
        <f t="shared" si="36"/>
        <v>50029240.980475955</v>
      </c>
      <c r="AV99" s="335">
        <f t="shared" si="36"/>
        <v>50029240.980475955</v>
      </c>
      <c r="AW99" s="335">
        <f t="shared" si="36"/>
        <v>50029240.980475955</v>
      </c>
      <c r="AX99" s="335">
        <f t="shared" si="36"/>
        <v>50029240.980475955</v>
      </c>
      <c r="AY99" s="335">
        <f t="shared" si="36"/>
        <v>50029240.980475955</v>
      </c>
      <c r="AZ99" s="335">
        <f t="shared" si="36"/>
        <v>50029240.980475955</v>
      </c>
      <c r="BA99" s="335">
        <f t="shared" si="36"/>
        <v>50029240.980475955</v>
      </c>
      <c r="BB99" s="335">
        <f t="shared" si="36"/>
        <v>50029240.980475955</v>
      </c>
      <c r="BC99" s="335">
        <f t="shared" si="36"/>
        <v>50029240.980475955</v>
      </c>
      <c r="BD99" s="335">
        <f t="shared" si="36"/>
        <v>50029240.980475955</v>
      </c>
      <c r="BE99" s="335">
        <f t="shared" si="36"/>
        <v>50029240.980475955</v>
      </c>
      <c r="BF99" s="335">
        <f t="shared" si="36"/>
        <v>50029240.980475955</v>
      </c>
      <c r="BG99" s="335">
        <f t="shared" si="36"/>
        <v>50029240.980475955</v>
      </c>
      <c r="BH99" s="335">
        <f t="shared" si="36"/>
        <v>50029240.980475955</v>
      </c>
      <c r="BI99" s="335">
        <f t="shared" si="36"/>
        <v>50029240.980475955</v>
      </c>
      <c r="BJ99" s="335">
        <f t="shared" si="36"/>
        <v>50029240.980475955</v>
      </c>
      <c r="BK99" s="335">
        <f t="shared" si="36"/>
        <v>50029240.980475955</v>
      </c>
      <c r="BL99" s="335">
        <f t="shared" si="36"/>
        <v>50029240.980475955</v>
      </c>
      <c r="BM99" s="335">
        <f t="shared" si="36"/>
        <v>50029240.980475955</v>
      </c>
      <c r="BN99" s="335">
        <f t="shared" si="36"/>
        <v>50029240.980475955</v>
      </c>
      <c r="BO99" s="335">
        <f t="shared" si="36"/>
        <v>50029240.980475955</v>
      </c>
      <c r="BP99" s="335">
        <f t="shared" si="36"/>
        <v>50029240.980475955</v>
      </c>
      <c r="BQ99" s="335">
        <f t="shared" si="36"/>
        <v>50029240.980475955</v>
      </c>
      <c r="BR99" s="335">
        <f t="shared" si="36"/>
        <v>50029240.980475955</v>
      </c>
      <c r="BS99" s="335">
        <f t="shared" si="36"/>
        <v>50029240.980475955</v>
      </c>
      <c r="BT99" s="335">
        <f t="shared" si="36"/>
        <v>50029240.980475955</v>
      </c>
      <c r="BU99" s="335">
        <f t="shared" si="36"/>
        <v>50029240.980475955</v>
      </c>
      <c r="BV99" s="335">
        <f t="shared" si="36"/>
        <v>50029240.980475955</v>
      </c>
      <c r="BW99" s="335">
        <f t="shared" si="36"/>
        <v>50029240.980475955</v>
      </c>
      <c r="BX99" s="335">
        <f t="shared" si="36"/>
        <v>50029240.980475955</v>
      </c>
      <c r="BY99" s="268"/>
      <c r="BZ99" s="268"/>
      <c r="CA99" s="268"/>
      <c r="CB99" s="268"/>
      <c r="CC99" s="268"/>
      <c r="CD99" s="268"/>
      <c r="CE99" s="268"/>
      <c r="CF99" s="268"/>
      <c r="CG99" s="268"/>
      <c r="CH99" s="268"/>
      <c r="CI99" s="268"/>
      <c r="CJ99" s="268"/>
      <c r="CK99" s="268"/>
      <c r="CL99" s="268"/>
      <c r="CM99" s="268"/>
      <c r="CN99" s="268"/>
      <c r="CO99" s="268"/>
      <c r="CP99" s="268"/>
      <c r="CQ99" s="268"/>
      <c r="CR99" s="268"/>
      <c r="CS99" s="268"/>
      <c r="CT99" s="268"/>
      <c r="CU99" s="268"/>
      <c r="CV99" s="268"/>
      <c r="CW99" s="268"/>
      <c r="CX99" s="268"/>
      <c r="CY99" s="268"/>
      <c r="CZ99" s="268"/>
      <c r="DA99" s="268"/>
      <c r="DB99" s="268"/>
      <c r="DC99" s="268"/>
      <c r="DD99" s="268"/>
      <c r="DE99" s="268"/>
      <c r="DF99" s="268"/>
      <c r="DG99" s="268"/>
      <c r="DH99" s="268"/>
      <c r="DI99" s="268"/>
      <c r="DJ99" s="268"/>
      <c r="DK99" s="268"/>
      <c r="DL99" s="268"/>
      <c r="DM99" s="268"/>
      <c r="DN99" s="268"/>
      <c r="DO99" s="268"/>
      <c r="DP99" s="268"/>
      <c r="DQ99" s="268"/>
      <c r="DR99" s="268"/>
      <c r="DS99" s="268"/>
      <c r="DT99" s="268"/>
      <c r="DU99" s="268"/>
      <c r="DV99" s="268"/>
      <c r="DW99" s="268"/>
      <c r="DX99" s="268"/>
      <c r="DY99" s="268"/>
      <c r="DZ99" s="268"/>
      <c r="EA99" s="268"/>
      <c r="EB99" s="268"/>
      <c r="EC99" s="268"/>
      <c r="ED99" s="268"/>
      <c r="EE99" s="268"/>
      <c r="EF99" s="268"/>
      <c r="EG99" s="268"/>
      <c r="EH99" s="268"/>
    </row>
    <row r="100" spans="1:138">
      <c r="A100" s="268"/>
      <c r="B100" s="268"/>
      <c r="C100" s="268"/>
      <c r="D100" s="268"/>
      <c r="E100" s="268"/>
      <c r="F100" s="268"/>
      <c r="G100" s="268"/>
      <c r="H100" s="268"/>
      <c r="I100" s="268"/>
      <c r="J100" s="268"/>
      <c r="K100" s="268"/>
      <c r="L100" s="268"/>
      <c r="M100" s="268"/>
      <c r="N100" s="268"/>
      <c r="O100" s="268"/>
      <c r="P100" s="268"/>
      <c r="Q100" s="268"/>
      <c r="R100" s="268"/>
      <c r="S100" s="268"/>
      <c r="T100" s="268"/>
      <c r="U100" s="268"/>
      <c r="V100" s="268"/>
      <c r="W100" s="268"/>
      <c r="X100" s="268"/>
      <c r="Y100" s="268"/>
      <c r="Z100" s="268"/>
      <c r="AA100" s="268"/>
      <c r="AB100" s="268"/>
      <c r="AC100" s="268"/>
      <c r="AD100" s="268"/>
      <c r="AE100" s="268"/>
      <c r="AF100" s="268"/>
      <c r="AG100" s="268"/>
      <c r="AH100" s="268"/>
      <c r="AI100" s="268"/>
      <c r="AJ100" s="268"/>
      <c r="AK100" s="268"/>
      <c r="AL100" s="268"/>
      <c r="AM100" s="268"/>
      <c r="AN100" s="268"/>
      <c r="AO100" s="268"/>
      <c r="AP100" s="268"/>
      <c r="AQ100" s="268"/>
      <c r="AR100" s="268"/>
      <c r="AS100" s="268"/>
      <c r="AT100" s="268"/>
      <c r="AU100" s="268"/>
      <c r="AV100" s="268"/>
      <c r="AW100" s="268"/>
      <c r="AX100" s="268"/>
      <c r="AY100" s="268"/>
      <c r="AZ100" s="268"/>
      <c r="BA100" s="268"/>
      <c r="BB100" s="268"/>
      <c r="BC100" s="268"/>
      <c r="BD100" s="268"/>
      <c r="BE100" s="268"/>
      <c r="BF100" s="268"/>
      <c r="BG100" s="268"/>
      <c r="BH100" s="268"/>
      <c r="BI100" s="268"/>
      <c r="BJ100" s="268"/>
      <c r="BK100" s="268"/>
      <c r="BL100" s="268"/>
      <c r="BM100" s="268"/>
      <c r="BN100" s="268"/>
      <c r="BO100" s="268"/>
      <c r="BP100" s="268"/>
      <c r="BQ100" s="268"/>
      <c r="BR100" s="268"/>
      <c r="BS100" s="268"/>
      <c r="BT100" s="268"/>
      <c r="BU100" s="268"/>
      <c r="BV100" s="268"/>
      <c r="BW100" s="268"/>
      <c r="BX100" s="268"/>
      <c r="BY100" s="336"/>
      <c r="BZ100" s="268"/>
      <c r="CA100" s="268"/>
      <c r="CB100" s="268"/>
      <c r="CC100" s="268"/>
      <c r="CD100" s="268"/>
      <c r="CE100" s="268"/>
      <c r="CF100" s="268"/>
      <c r="CG100" s="268"/>
      <c r="CH100" s="268"/>
      <c r="CI100" s="268"/>
      <c r="CJ100" s="268"/>
      <c r="CK100" s="268"/>
      <c r="CL100" s="268"/>
      <c r="CM100" s="268"/>
      <c r="CN100" s="268"/>
      <c r="CO100" s="268"/>
      <c r="CP100" s="268"/>
      <c r="CQ100" s="268"/>
      <c r="CR100" s="268"/>
      <c r="CS100" s="268"/>
      <c r="CT100" s="268"/>
      <c r="CU100" s="268"/>
      <c r="CV100" s="268"/>
      <c r="CW100" s="268"/>
      <c r="CX100" s="268"/>
      <c r="CY100" s="268"/>
      <c r="CZ100" s="268"/>
      <c r="DA100" s="268"/>
      <c r="DB100" s="268"/>
      <c r="DC100" s="268"/>
      <c r="DD100" s="268"/>
      <c r="DE100" s="268"/>
      <c r="DF100" s="268"/>
      <c r="DG100" s="268"/>
      <c r="DH100" s="268"/>
      <c r="DI100" s="268"/>
      <c r="DJ100" s="268"/>
      <c r="DK100" s="268"/>
      <c r="DL100" s="268"/>
      <c r="DM100" s="268"/>
      <c r="DN100" s="268"/>
      <c r="DO100" s="268"/>
      <c r="DP100" s="268"/>
      <c r="DQ100" s="268"/>
      <c r="DR100" s="268"/>
      <c r="DS100" s="268"/>
      <c r="DT100" s="268"/>
      <c r="DU100" s="268"/>
      <c r="DV100" s="268"/>
      <c r="DW100" s="268"/>
      <c r="DX100" s="268"/>
      <c r="DY100" s="268"/>
      <c r="DZ100" s="268"/>
      <c r="EA100" s="268"/>
      <c r="EB100" s="268"/>
      <c r="EC100" s="268"/>
      <c r="ED100" s="268"/>
      <c r="EE100" s="268"/>
      <c r="EF100" s="268"/>
      <c r="EG100" s="268"/>
      <c r="EH100" s="268"/>
    </row>
    <row r="101" spans="1:138" hidden="1">
      <c r="A101" s="268"/>
      <c r="B101" s="268"/>
      <c r="C101" s="268"/>
      <c r="D101" s="337" t="s">
        <v>327</v>
      </c>
      <c r="E101" s="337"/>
      <c r="F101" s="337"/>
      <c r="G101" s="337"/>
      <c r="H101" s="337"/>
      <c r="I101" s="337"/>
      <c r="J101" s="337"/>
      <c r="K101" s="337"/>
      <c r="L101" s="337"/>
      <c r="M101" s="337"/>
      <c r="N101" s="337"/>
      <c r="O101" s="337"/>
      <c r="P101" s="337"/>
      <c r="Q101" s="337"/>
      <c r="R101" s="337"/>
      <c r="S101" s="337"/>
      <c r="T101" s="337"/>
      <c r="U101" s="337"/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38"/>
      <c r="AF101" s="338"/>
      <c r="AG101" s="338"/>
      <c r="AH101" s="338"/>
      <c r="AI101" s="338"/>
      <c r="AJ101" s="338"/>
      <c r="AK101" s="338"/>
      <c r="AL101" s="338"/>
      <c r="AM101" s="338"/>
      <c r="AN101" s="338"/>
      <c r="AO101" s="338"/>
      <c r="AP101" s="338"/>
      <c r="AQ101" s="338"/>
      <c r="AR101" s="338"/>
      <c r="AS101" s="338"/>
      <c r="AT101" s="338"/>
      <c r="AU101" s="338"/>
      <c r="AV101" s="338"/>
      <c r="AW101" s="338"/>
      <c r="AX101" s="338"/>
      <c r="AY101" s="338"/>
      <c r="AZ101" s="338"/>
      <c r="BA101" s="338"/>
      <c r="BB101" s="338"/>
      <c r="BC101" s="338"/>
      <c r="BD101" s="338"/>
      <c r="BE101" s="338"/>
      <c r="BF101" s="338"/>
      <c r="BG101" s="338"/>
      <c r="BH101" s="338"/>
      <c r="BI101" s="338"/>
      <c r="BJ101" s="338"/>
      <c r="BK101" s="338"/>
      <c r="BL101" s="338"/>
      <c r="BM101" s="338"/>
      <c r="BN101" s="338"/>
      <c r="BO101" s="338"/>
      <c r="BP101" s="338"/>
      <c r="BQ101" s="338"/>
      <c r="BR101" s="338"/>
      <c r="BS101" s="338"/>
      <c r="BT101" s="338"/>
      <c r="BU101" s="338"/>
      <c r="BV101" s="338"/>
      <c r="BW101" s="338"/>
      <c r="BX101" s="338"/>
      <c r="BY101" s="336"/>
      <c r="BZ101" s="268"/>
      <c r="CA101" s="268"/>
      <c r="CB101" s="268"/>
      <c r="CC101" s="268"/>
      <c r="CD101" s="268"/>
      <c r="CE101" s="268"/>
      <c r="CF101" s="268"/>
      <c r="CG101" s="268"/>
      <c r="CH101" s="268"/>
      <c r="CI101" s="268"/>
      <c r="CJ101" s="268"/>
      <c r="CK101" s="268"/>
      <c r="CL101" s="268"/>
      <c r="CM101" s="268"/>
      <c r="CN101" s="268"/>
      <c r="CO101" s="268"/>
      <c r="CP101" s="268"/>
      <c r="CQ101" s="268"/>
      <c r="CR101" s="268"/>
      <c r="CS101" s="268"/>
      <c r="CT101" s="268"/>
      <c r="CU101" s="268"/>
      <c r="CV101" s="268"/>
      <c r="CW101" s="268"/>
      <c r="CX101" s="268"/>
      <c r="CY101" s="268"/>
      <c r="CZ101" s="268"/>
      <c r="DA101" s="268"/>
      <c r="DB101" s="268"/>
      <c r="DC101" s="268"/>
      <c r="DD101" s="268"/>
      <c r="DE101" s="268"/>
      <c r="DF101" s="268"/>
      <c r="DG101" s="268"/>
      <c r="DH101" s="268"/>
      <c r="DI101" s="268"/>
      <c r="DJ101" s="268"/>
      <c r="DK101" s="268"/>
      <c r="DL101" s="268"/>
      <c r="DM101" s="268"/>
      <c r="DN101" s="268"/>
      <c r="DO101" s="268"/>
      <c r="DP101" s="268"/>
      <c r="DQ101" s="268"/>
      <c r="DR101" s="268"/>
      <c r="DS101" s="268"/>
      <c r="DT101" s="268"/>
      <c r="DU101" s="268"/>
      <c r="DV101" s="268"/>
      <c r="DW101" s="268"/>
      <c r="DX101" s="268"/>
      <c r="DY101" s="268"/>
      <c r="DZ101" s="268"/>
      <c r="EA101" s="268"/>
      <c r="EB101" s="268"/>
      <c r="EC101" s="268"/>
      <c r="ED101" s="268"/>
      <c r="EE101" s="268"/>
      <c r="EF101" s="268"/>
      <c r="EG101" s="268"/>
      <c r="EH101" s="268"/>
    </row>
    <row r="102" spans="1:138" hidden="1">
      <c r="A102" s="268"/>
      <c r="B102" s="268"/>
      <c r="C102" s="268"/>
      <c r="D102" s="268"/>
      <c r="E102" s="268"/>
      <c r="F102" s="268"/>
      <c r="G102" s="268"/>
      <c r="H102" s="268"/>
      <c r="I102" s="268"/>
      <c r="J102" s="268"/>
      <c r="K102" s="268"/>
      <c r="L102" s="268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68"/>
      <c r="X102" s="268"/>
      <c r="Y102" s="268"/>
      <c r="Z102" s="268"/>
      <c r="AA102" s="268"/>
      <c r="AB102" s="268"/>
      <c r="AC102" s="268"/>
      <c r="AD102" s="268"/>
      <c r="AE102" s="268"/>
      <c r="AF102" s="268"/>
      <c r="AG102" s="268"/>
      <c r="AH102" s="268"/>
      <c r="AI102" s="268"/>
      <c r="AJ102" s="268"/>
      <c r="AK102" s="268"/>
      <c r="AL102" s="268"/>
      <c r="AM102" s="268"/>
      <c r="AN102" s="268"/>
      <c r="AO102" s="268"/>
      <c r="AP102" s="268"/>
      <c r="AQ102" s="268"/>
      <c r="AR102" s="268"/>
      <c r="AS102" s="268"/>
      <c r="AT102" s="268"/>
      <c r="AU102" s="268"/>
      <c r="AV102" s="268"/>
      <c r="AW102" s="268"/>
      <c r="AX102" s="268"/>
      <c r="AY102" s="268"/>
      <c r="AZ102" s="268"/>
      <c r="BA102" s="268"/>
      <c r="BB102" s="268"/>
      <c r="BC102" s="268"/>
      <c r="BD102" s="268"/>
      <c r="BE102" s="268"/>
      <c r="BF102" s="268"/>
      <c r="BG102" s="268"/>
      <c r="BH102" s="268"/>
      <c r="BI102" s="268"/>
      <c r="BJ102" s="268"/>
      <c r="BK102" s="268"/>
      <c r="BL102" s="268"/>
      <c r="BM102" s="268"/>
      <c r="BN102" s="268"/>
      <c r="BO102" s="268"/>
      <c r="BP102" s="268"/>
      <c r="BQ102" s="268"/>
      <c r="BR102" s="268"/>
      <c r="BS102" s="268"/>
      <c r="BT102" s="268"/>
      <c r="BU102" s="268"/>
      <c r="BV102" s="268"/>
      <c r="BW102" s="268"/>
      <c r="BX102" s="268"/>
      <c r="BY102" s="336"/>
      <c r="BZ102" s="268"/>
      <c r="CA102" s="268"/>
      <c r="CB102" s="268"/>
      <c r="CC102" s="268"/>
      <c r="CD102" s="268"/>
      <c r="CE102" s="268"/>
      <c r="CF102" s="268"/>
      <c r="CG102" s="268"/>
      <c r="CH102" s="268"/>
      <c r="CI102" s="268"/>
      <c r="CJ102" s="268"/>
      <c r="CK102" s="268"/>
      <c r="CL102" s="268"/>
      <c r="CM102" s="268"/>
      <c r="CN102" s="268"/>
      <c r="CO102" s="268"/>
      <c r="CP102" s="268"/>
      <c r="CQ102" s="268"/>
      <c r="CR102" s="268"/>
      <c r="CS102" s="268"/>
      <c r="CT102" s="268"/>
      <c r="CU102" s="268"/>
      <c r="CV102" s="268"/>
      <c r="CW102" s="268"/>
      <c r="CX102" s="268"/>
      <c r="CY102" s="268"/>
      <c r="CZ102" s="268"/>
      <c r="DA102" s="268"/>
      <c r="DB102" s="268"/>
      <c r="DC102" s="268"/>
      <c r="DD102" s="268"/>
      <c r="DE102" s="268"/>
      <c r="DF102" s="268"/>
      <c r="DG102" s="268"/>
      <c r="DH102" s="268"/>
      <c r="DI102" s="268"/>
      <c r="DJ102" s="268"/>
      <c r="DK102" s="268"/>
      <c r="DL102" s="268"/>
      <c r="DM102" s="268"/>
      <c r="DN102" s="268"/>
      <c r="DO102" s="268"/>
      <c r="DP102" s="268"/>
      <c r="DQ102" s="268"/>
      <c r="DR102" s="268"/>
      <c r="DS102" s="268"/>
      <c r="DT102" s="268"/>
      <c r="DU102" s="268"/>
      <c r="DV102" s="268"/>
      <c r="DW102" s="268"/>
      <c r="DX102" s="268"/>
      <c r="DY102" s="268"/>
      <c r="DZ102" s="268"/>
      <c r="EA102" s="268"/>
      <c r="EB102" s="268"/>
      <c r="EC102" s="268"/>
      <c r="ED102" s="268"/>
      <c r="EE102" s="268"/>
      <c r="EF102" s="268"/>
      <c r="EG102" s="268"/>
      <c r="EH102" s="268"/>
    </row>
    <row r="103" spans="1:138" hidden="1">
      <c r="A103" s="268"/>
      <c r="B103" s="268"/>
      <c r="C103" s="339" t="s">
        <v>328</v>
      </c>
      <c r="D103" s="515"/>
      <c r="E103" s="516">
        <f>E111+E126+E142+E159</f>
        <v>0</v>
      </c>
      <c r="F103" s="516">
        <f t="shared" ref="F103:BW103" si="37">F111+F159</f>
        <v>0</v>
      </c>
      <c r="G103" s="516">
        <f t="shared" si="37"/>
        <v>0</v>
      </c>
      <c r="H103" s="516">
        <f t="shared" si="37"/>
        <v>0</v>
      </c>
      <c r="I103" s="516">
        <f t="shared" si="37"/>
        <v>0</v>
      </c>
      <c r="J103" s="516">
        <f t="shared" si="37"/>
        <v>0</v>
      </c>
      <c r="K103" s="516">
        <f t="shared" si="37"/>
        <v>0</v>
      </c>
      <c r="L103" s="516">
        <f t="shared" si="37"/>
        <v>0</v>
      </c>
      <c r="M103" s="516">
        <f t="shared" si="37"/>
        <v>0</v>
      </c>
      <c r="N103" s="516">
        <f t="shared" si="37"/>
        <v>0</v>
      </c>
      <c r="O103" s="516">
        <f t="shared" si="37"/>
        <v>0</v>
      </c>
      <c r="P103" s="516">
        <f t="shared" si="37"/>
        <v>0</v>
      </c>
      <c r="Q103" s="516">
        <f t="shared" si="37"/>
        <v>0</v>
      </c>
      <c r="R103" s="516">
        <f t="shared" si="37"/>
        <v>0</v>
      </c>
      <c r="S103" s="516">
        <f t="shared" si="37"/>
        <v>0</v>
      </c>
      <c r="T103" s="516">
        <f t="shared" si="37"/>
        <v>0</v>
      </c>
      <c r="U103" s="516">
        <f t="shared" si="37"/>
        <v>0</v>
      </c>
      <c r="V103" s="516">
        <f t="shared" si="37"/>
        <v>0</v>
      </c>
      <c r="W103" s="516">
        <f t="shared" si="37"/>
        <v>0</v>
      </c>
      <c r="X103" s="516">
        <f t="shared" si="37"/>
        <v>0</v>
      </c>
      <c r="Y103" s="516">
        <f t="shared" si="37"/>
        <v>0</v>
      </c>
      <c r="Z103" s="516">
        <f t="shared" si="37"/>
        <v>0</v>
      </c>
      <c r="AA103" s="516">
        <f t="shared" si="37"/>
        <v>0</v>
      </c>
      <c r="AB103" s="516">
        <f t="shared" si="37"/>
        <v>0</v>
      </c>
      <c r="AC103" s="516">
        <f t="shared" si="37"/>
        <v>0</v>
      </c>
      <c r="AD103" s="516">
        <f t="shared" si="37"/>
        <v>0</v>
      </c>
      <c r="AE103" s="516">
        <f t="shared" si="37"/>
        <v>0</v>
      </c>
      <c r="AF103" s="516">
        <f t="shared" si="37"/>
        <v>0</v>
      </c>
      <c r="AG103" s="516">
        <f t="shared" si="37"/>
        <v>0</v>
      </c>
      <c r="AH103" s="516">
        <f t="shared" si="37"/>
        <v>0</v>
      </c>
      <c r="AI103" s="516">
        <f t="shared" si="37"/>
        <v>0</v>
      </c>
      <c r="AJ103" s="516">
        <f t="shared" si="37"/>
        <v>0</v>
      </c>
      <c r="AK103" s="516">
        <f t="shared" si="37"/>
        <v>0</v>
      </c>
      <c r="AL103" s="516">
        <f t="shared" si="37"/>
        <v>0</v>
      </c>
      <c r="AM103" s="516">
        <f t="shared" si="37"/>
        <v>0</v>
      </c>
      <c r="AN103" s="516">
        <f t="shared" si="37"/>
        <v>0</v>
      </c>
      <c r="AO103" s="516">
        <f t="shared" si="37"/>
        <v>0</v>
      </c>
      <c r="AP103" s="516">
        <f t="shared" si="37"/>
        <v>0</v>
      </c>
      <c r="AQ103" s="516">
        <f t="shared" si="37"/>
        <v>0</v>
      </c>
      <c r="AR103" s="516">
        <f t="shared" si="37"/>
        <v>0</v>
      </c>
      <c r="AS103" s="516">
        <f t="shared" si="37"/>
        <v>0</v>
      </c>
      <c r="AT103" s="516">
        <f t="shared" si="37"/>
        <v>0</v>
      </c>
      <c r="AU103" s="516">
        <f t="shared" si="37"/>
        <v>0</v>
      </c>
      <c r="AV103" s="516">
        <f t="shared" si="37"/>
        <v>0</v>
      </c>
      <c r="AW103" s="516">
        <f t="shared" si="37"/>
        <v>0</v>
      </c>
      <c r="AX103" s="516">
        <f t="shared" si="37"/>
        <v>0</v>
      </c>
      <c r="AY103" s="516">
        <f t="shared" si="37"/>
        <v>0</v>
      </c>
      <c r="AZ103" s="516">
        <f t="shared" si="37"/>
        <v>0</v>
      </c>
      <c r="BA103" s="516">
        <f t="shared" si="37"/>
        <v>0</v>
      </c>
      <c r="BB103" s="516">
        <f t="shared" si="37"/>
        <v>0</v>
      </c>
      <c r="BC103" s="516">
        <f t="shared" si="37"/>
        <v>0</v>
      </c>
      <c r="BD103" s="516">
        <f t="shared" si="37"/>
        <v>0</v>
      </c>
      <c r="BE103" s="516">
        <f t="shared" si="37"/>
        <v>0</v>
      </c>
      <c r="BF103" s="516">
        <f t="shared" si="37"/>
        <v>0</v>
      </c>
      <c r="BG103" s="516">
        <f t="shared" si="37"/>
        <v>0</v>
      </c>
      <c r="BH103" s="516">
        <f t="shared" si="37"/>
        <v>0</v>
      </c>
      <c r="BI103" s="516">
        <f t="shared" si="37"/>
        <v>0</v>
      </c>
      <c r="BJ103" s="516">
        <f t="shared" si="37"/>
        <v>0</v>
      </c>
      <c r="BK103" s="516">
        <f t="shared" si="37"/>
        <v>0</v>
      </c>
      <c r="BL103" s="516">
        <f t="shared" si="37"/>
        <v>0</v>
      </c>
      <c r="BM103" s="516">
        <f t="shared" si="37"/>
        <v>0</v>
      </c>
      <c r="BN103" s="516">
        <f t="shared" si="37"/>
        <v>0</v>
      </c>
      <c r="BO103" s="516">
        <f t="shared" si="37"/>
        <v>0</v>
      </c>
      <c r="BP103" s="516">
        <f t="shared" si="37"/>
        <v>0</v>
      </c>
      <c r="BQ103" s="516">
        <f t="shared" si="37"/>
        <v>0</v>
      </c>
      <c r="BR103" s="516">
        <f t="shared" si="37"/>
        <v>0</v>
      </c>
      <c r="BS103" s="516">
        <f t="shared" si="37"/>
        <v>0</v>
      </c>
      <c r="BT103" s="516">
        <f t="shared" si="37"/>
        <v>0</v>
      </c>
      <c r="BU103" s="516">
        <f t="shared" si="37"/>
        <v>0</v>
      </c>
      <c r="BV103" s="516">
        <f t="shared" si="37"/>
        <v>0</v>
      </c>
      <c r="BW103" s="516">
        <f t="shared" si="37"/>
        <v>0</v>
      </c>
      <c r="BX103" s="516">
        <f>BX111+BX159+BX99</f>
        <v>50029240.980475955</v>
      </c>
      <c r="BY103" s="336"/>
      <c r="BZ103" s="268"/>
      <c r="CA103" s="268"/>
      <c r="CB103" s="268"/>
      <c r="CC103" s="268"/>
      <c r="CD103" s="268"/>
      <c r="CE103" s="268"/>
      <c r="CF103" s="268"/>
      <c r="CG103" s="268"/>
      <c r="CH103" s="268"/>
      <c r="CI103" s="268"/>
      <c r="CJ103" s="268"/>
      <c r="CK103" s="268"/>
      <c r="CL103" s="268"/>
      <c r="CM103" s="268"/>
      <c r="CN103" s="268"/>
      <c r="CO103" s="268"/>
      <c r="CP103" s="268"/>
      <c r="CQ103" s="268"/>
      <c r="CR103" s="268"/>
      <c r="CS103" s="268"/>
      <c r="CT103" s="268"/>
      <c r="CU103" s="268"/>
      <c r="CV103" s="268"/>
      <c r="CW103" s="268"/>
      <c r="CX103" s="268"/>
      <c r="CY103" s="268"/>
      <c r="CZ103" s="268"/>
      <c r="DA103" s="268"/>
      <c r="DB103" s="268"/>
      <c r="DC103" s="268"/>
      <c r="DD103" s="268"/>
      <c r="DE103" s="268"/>
      <c r="DF103" s="268"/>
      <c r="DG103" s="268"/>
      <c r="DH103" s="268"/>
      <c r="DI103" s="268"/>
      <c r="DJ103" s="268"/>
      <c r="DK103" s="268"/>
      <c r="DL103" s="268"/>
      <c r="DM103" s="268"/>
      <c r="DN103" s="268"/>
      <c r="DO103" s="268"/>
      <c r="DP103" s="268"/>
      <c r="DQ103" s="268"/>
      <c r="DR103" s="268"/>
      <c r="DS103" s="268"/>
      <c r="DT103" s="268"/>
      <c r="DU103" s="268"/>
      <c r="DV103" s="268"/>
      <c r="DW103" s="268"/>
      <c r="DX103" s="268"/>
      <c r="DY103" s="268"/>
      <c r="DZ103" s="268"/>
      <c r="EA103" s="268"/>
      <c r="EB103" s="268"/>
      <c r="EC103" s="268"/>
      <c r="ED103" s="268"/>
      <c r="EE103" s="268"/>
      <c r="EF103" s="268"/>
      <c r="EG103" s="268"/>
      <c r="EH103" s="268"/>
    </row>
    <row r="104" spans="1:138" hidden="1">
      <c r="A104" s="268"/>
      <c r="B104" s="268"/>
      <c r="C104" s="517" t="s">
        <v>329</v>
      </c>
      <c r="D104" s="573" t="e">
        <f>IRR(E103:BX103)*12</f>
        <v>#NUM!</v>
      </c>
      <c r="E104" s="608"/>
      <c r="F104" s="268"/>
      <c r="G104" s="268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  <c r="X104" s="268"/>
      <c r="Y104" s="268"/>
      <c r="Z104" s="268"/>
      <c r="AA104" s="268"/>
      <c r="AB104" s="268"/>
      <c r="AC104" s="268"/>
      <c r="AD104" s="268"/>
      <c r="AE104" s="268"/>
      <c r="AF104" s="268"/>
      <c r="AG104" s="268"/>
      <c r="AH104" s="268"/>
      <c r="AI104" s="268"/>
      <c r="AJ104" s="268"/>
      <c r="AK104" s="268"/>
      <c r="AL104" s="268"/>
      <c r="AM104" s="268"/>
      <c r="AN104" s="268"/>
      <c r="AO104" s="268"/>
      <c r="AP104" s="268"/>
      <c r="AQ104" s="268"/>
      <c r="AR104" s="268"/>
      <c r="AS104" s="268"/>
      <c r="AT104" s="268"/>
      <c r="AU104" s="268"/>
      <c r="AV104" s="268"/>
      <c r="AW104" s="268"/>
      <c r="AX104" s="268"/>
      <c r="AY104" s="268"/>
      <c r="AZ104" s="268"/>
      <c r="BA104" s="268"/>
      <c r="BB104" s="268"/>
      <c r="BC104" s="268"/>
      <c r="BD104" s="268"/>
      <c r="BE104" s="268"/>
      <c r="BF104" s="268"/>
      <c r="BG104" s="268"/>
      <c r="BH104" s="268"/>
      <c r="BI104" s="268"/>
      <c r="BJ104" s="268"/>
      <c r="BK104" s="268"/>
      <c r="BL104" s="268"/>
      <c r="BM104" s="268"/>
      <c r="BN104" s="268"/>
      <c r="BO104" s="268"/>
      <c r="BP104" s="268"/>
      <c r="BQ104" s="268"/>
      <c r="BR104" s="268"/>
      <c r="BS104" s="268"/>
      <c r="BT104" s="268"/>
      <c r="BU104" s="268"/>
      <c r="BV104" s="268"/>
      <c r="BW104" s="268"/>
      <c r="BX104" s="268"/>
      <c r="BY104" s="336"/>
      <c r="BZ104" s="268"/>
      <c r="CA104" s="268"/>
      <c r="CB104" s="268"/>
      <c r="CC104" s="268"/>
      <c r="CD104" s="268"/>
      <c r="CE104" s="268"/>
      <c r="CF104" s="268"/>
      <c r="CG104" s="268"/>
      <c r="CH104" s="268"/>
      <c r="CI104" s="268"/>
      <c r="CJ104" s="268"/>
      <c r="CK104" s="268"/>
      <c r="CL104" s="268"/>
      <c r="CM104" s="268"/>
      <c r="CN104" s="268"/>
      <c r="CO104" s="268"/>
      <c r="CP104" s="268"/>
      <c r="CQ104" s="268"/>
      <c r="CR104" s="268"/>
      <c r="CS104" s="268"/>
      <c r="CT104" s="268"/>
      <c r="CU104" s="268"/>
      <c r="CV104" s="268"/>
      <c r="CW104" s="268"/>
      <c r="CX104" s="268"/>
      <c r="CY104" s="268"/>
      <c r="CZ104" s="268"/>
      <c r="DA104" s="268"/>
      <c r="DB104" s="268"/>
      <c r="DC104" s="268"/>
      <c r="DD104" s="268"/>
      <c r="DE104" s="268"/>
      <c r="DF104" s="268"/>
      <c r="DG104" s="268"/>
      <c r="DH104" s="268"/>
      <c r="DI104" s="268"/>
      <c r="DJ104" s="268"/>
      <c r="DK104" s="268"/>
      <c r="DL104" s="268"/>
      <c r="DM104" s="268"/>
      <c r="DN104" s="268"/>
      <c r="DO104" s="268"/>
      <c r="DP104" s="268"/>
      <c r="DQ104" s="268"/>
      <c r="DR104" s="268"/>
      <c r="DS104" s="268"/>
      <c r="DT104" s="268"/>
      <c r="DU104" s="268"/>
      <c r="DV104" s="268"/>
      <c r="DW104" s="268"/>
      <c r="DX104" s="268"/>
      <c r="DY104" s="268"/>
      <c r="DZ104" s="268"/>
      <c r="EA104" s="268"/>
      <c r="EB104" s="268"/>
      <c r="EC104" s="268"/>
      <c r="ED104" s="268"/>
      <c r="EE104" s="268"/>
      <c r="EF104" s="268"/>
      <c r="EG104" s="268"/>
      <c r="EH104" s="268"/>
    </row>
    <row r="105" spans="1:138" hidden="1">
      <c r="A105" s="268"/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M105" s="268"/>
      <c r="N105" s="268"/>
      <c r="O105" s="268"/>
      <c r="P105" s="268"/>
      <c r="Q105" s="268"/>
      <c r="R105" s="268"/>
      <c r="S105" s="268"/>
      <c r="T105" s="268"/>
      <c r="U105" s="268"/>
      <c r="V105" s="268"/>
      <c r="W105" s="268"/>
      <c r="X105" s="268"/>
      <c r="Y105" s="268"/>
      <c r="Z105" s="268"/>
      <c r="AA105" s="268"/>
      <c r="AB105" s="268"/>
      <c r="AC105" s="268"/>
      <c r="AD105" s="268"/>
      <c r="AE105" s="268"/>
      <c r="AF105" s="268"/>
      <c r="AG105" s="268"/>
      <c r="AH105" s="268"/>
      <c r="AI105" s="268"/>
      <c r="AJ105" s="268"/>
      <c r="AK105" s="268"/>
      <c r="AL105" s="268"/>
      <c r="AM105" s="268"/>
      <c r="AN105" s="268"/>
      <c r="AO105" s="268"/>
      <c r="AP105" s="268"/>
      <c r="AQ105" s="268"/>
      <c r="AR105" s="268"/>
      <c r="AS105" s="268"/>
      <c r="AT105" s="268"/>
      <c r="AU105" s="268"/>
      <c r="AV105" s="268"/>
      <c r="AW105" s="268"/>
      <c r="AX105" s="268"/>
      <c r="AY105" s="268"/>
      <c r="AZ105" s="268"/>
      <c r="BA105" s="268"/>
      <c r="BB105" s="268"/>
      <c r="BC105" s="268"/>
      <c r="BD105" s="268"/>
      <c r="BE105" s="268"/>
      <c r="BF105" s="268"/>
      <c r="BG105" s="268"/>
      <c r="BH105" s="268"/>
      <c r="BI105" s="268"/>
      <c r="BJ105" s="268"/>
      <c r="BK105" s="268"/>
      <c r="BL105" s="268"/>
      <c r="BM105" s="268"/>
      <c r="BN105" s="268"/>
      <c r="BO105" s="268"/>
      <c r="BP105" s="268"/>
      <c r="BQ105" s="268"/>
      <c r="BR105" s="268"/>
      <c r="BS105" s="268"/>
      <c r="BT105" s="268"/>
      <c r="BU105" s="268"/>
      <c r="BV105" s="268"/>
      <c r="BW105" s="268"/>
      <c r="BX105" s="268"/>
      <c r="BY105" s="336"/>
      <c r="BZ105" s="268"/>
      <c r="CA105" s="268"/>
      <c r="CB105" s="268"/>
      <c r="CC105" s="268"/>
      <c r="CD105" s="268"/>
      <c r="CE105" s="268"/>
      <c r="CF105" s="268"/>
      <c r="CG105" s="268"/>
      <c r="CH105" s="268"/>
      <c r="CI105" s="268"/>
      <c r="CJ105" s="268"/>
      <c r="CK105" s="268"/>
      <c r="CL105" s="268"/>
      <c r="CM105" s="268"/>
      <c r="CN105" s="268"/>
      <c r="CO105" s="268"/>
      <c r="CP105" s="268"/>
      <c r="CQ105" s="268"/>
      <c r="CR105" s="268"/>
      <c r="CS105" s="268"/>
      <c r="CT105" s="268"/>
      <c r="CU105" s="268"/>
      <c r="CV105" s="268"/>
      <c r="CW105" s="268"/>
      <c r="CX105" s="268"/>
      <c r="CY105" s="268"/>
      <c r="CZ105" s="268"/>
      <c r="DA105" s="268"/>
      <c r="DB105" s="268"/>
      <c r="DC105" s="268"/>
      <c r="DD105" s="268"/>
      <c r="DE105" s="268"/>
      <c r="DF105" s="268"/>
      <c r="DG105" s="268"/>
      <c r="DH105" s="268"/>
      <c r="DI105" s="268"/>
      <c r="DJ105" s="268"/>
      <c r="DK105" s="268"/>
      <c r="DL105" s="268"/>
      <c r="DM105" s="268"/>
      <c r="DN105" s="268"/>
      <c r="DO105" s="268"/>
      <c r="DP105" s="268"/>
      <c r="DQ105" s="268"/>
      <c r="DR105" s="268"/>
      <c r="DS105" s="268"/>
      <c r="DT105" s="268"/>
      <c r="DU105" s="268"/>
      <c r="DV105" s="268"/>
      <c r="DW105" s="268"/>
      <c r="DX105" s="268"/>
      <c r="DY105" s="268"/>
      <c r="DZ105" s="268"/>
      <c r="EA105" s="268"/>
      <c r="EB105" s="268"/>
      <c r="EC105" s="268"/>
      <c r="ED105" s="268"/>
      <c r="EE105" s="268"/>
      <c r="EF105" s="268"/>
      <c r="EG105" s="268"/>
      <c r="EH105" s="268"/>
    </row>
    <row r="106" spans="1:138" hidden="1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  <c r="X106" s="268"/>
      <c r="Y106" s="268"/>
      <c r="Z106" s="268"/>
      <c r="AA106" s="268"/>
      <c r="AB106" s="268"/>
      <c r="AC106" s="268"/>
      <c r="AD106" s="268"/>
      <c r="AE106" s="268"/>
      <c r="AF106" s="268"/>
      <c r="AG106" s="268"/>
      <c r="AH106" s="268"/>
      <c r="AI106" s="268"/>
      <c r="AJ106" s="268"/>
      <c r="AK106" s="268"/>
      <c r="AL106" s="268"/>
      <c r="AM106" s="268"/>
      <c r="AN106" s="268"/>
      <c r="AO106" s="268"/>
      <c r="AP106" s="268"/>
      <c r="AQ106" s="268"/>
      <c r="AR106" s="268"/>
      <c r="AS106" s="268"/>
      <c r="AT106" s="268"/>
      <c r="AU106" s="268"/>
      <c r="AV106" s="268"/>
      <c r="AW106" s="268"/>
      <c r="AX106" s="268"/>
      <c r="AY106" s="268"/>
      <c r="AZ106" s="268"/>
      <c r="BA106" s="268"/>
      <c r="BB106" s="268"/>
      <c r="BC106" s="268"/>
      <c r="BD106" s="268"/>
      <c r="BE106" s="268"/>
      <c r="BF106" s="268"/>
      <c r="BG106" s="268"/>
      <c r="BH106" s="268"/>
      <c r="BI106" s="268"/>
      <c r="BJ106" s="268"/>
      <c r="BK106" s="268"/>
      <c r="BL106" s="268"/>
      <c r="BM106" s="268"/>
      <c r="BN106" s="268"/>
      <c r="BO106" s="268"/>
      <c r="BP106" s="268"/>
      <c r="BQ106" s="268"/>
      <c r="BR106" s="268"/>
      <c r="BS106" s="268"/>
      <c r="BT106" s="268"/>
      <c r="BU106" s="268"/>
      <c r="BV106" s="268"/>
      <c r="BW106" s="268"/>
      <c r="BX106" s="268"/>
      <c r="BY106" s="336"/>
      <c r="BZ106" s="268"/>
      <c r="CA106" s="268"/>
      <c r="CB106" s="268"/>
      <c r="CC106" s="268"/>
      <c r="CD106" s="268"/>
      <c r="CE106" s="268"/>
      <c r="CF106" s="268"/>
      <c r="CG106" s="268"/>
      <c r="CH106" s="268"/>
      <c r="CI106" s="268"/>
      <c r="CJ106" s="268"/>
      <c r="CK106" s="268"/>
      <c r="CL106" s="268"/>
      <c r="CM106" s="268"/>
      <c r="CN106" s="268"/>
      <c r="CO106" s="268"/>
      <c r="CP106" s="268"/>
      <c r="CQ106" s="268"/>
      <c r="CR106" s="268"/>
      <c r="CS106" s="268"/>
      <c r="CT106" s="268"/>
      <c r="CU106" s="268"/>
      <c r="CV106" s="268"/>
      <c r="CW106" s="268"/>
      <c r="CX106" s="268"/>
      <c r="CY106" s="268"/>
      <c r="CZ106" s="268"/>
      <c r="DA106" s="268"/>
      <c r="DB106" s="268"/>
      <c r="DC106" s="268"/>
      <c r="DD106" s="268"/>
      <c r="DE106" s="268"/>
      <c r="DF106" s="268"/>
      <c r="DG106" s="268"/>
      <c r="DH106" s="268"/>
      <c r="DI106" s="268"/>
      <c r="DJ106" s="268"/>
      <c r="DK106" s="268"/>
      <c r="DL106" s="268"/>
      <c r="DM106" s="268"/>
      <c r="DN106" s="268"/>
      <c r="DO106" s="268"/>
      <c r="DP106" s="268"/>
      <c r="DQ106" s="268"/>
      <c r="DR106" s="268"/>
      <c r="DS106" s="268"/>
      <c r="DT106" s="268"/>
      <c r="DU106" s="268"/>
      <c r="DV106" s="268"/>
      <c r="DW106" s="268"/>
      <c r="DX106" s="268"/>
      <c r="DY106" s="268"/>
      <c r="DZ106" s="268"/>
      <c r="EA106" s="268"/>
      <c r="EB106" s="268"/>
      <c r="EC106" s="268"/>
      <c r="ED106" s="268"/>
      <c r="EE106" s="268"/>
      <c r="EF106" s="268"/>
      <c r="EG106" s="268"/>
      <c r="EH106" s="268"/>
    </row>
    <row r="107" spans="1:138" ht="17.100000000000001" hidden="1">
      <c r="A107" s="268"/>
      <c r="B107" s="268"/>
      <c r="C107" s="339" t="s">
        <v>330</v>
      </c>
      <c r="D107" s="613"/>
      <c r="E107" s="607"/>
      <c r="F107" s="607"/>
      <c r="G107" s="607"/>
      <c r="H107" s="607"/>
      <c r="I107" s="607"/>
      <c r="J107" s="607"/>
      <c r="K107" s="607"/>
      <c r="L107" s="607"/>
      <c r="M107" s="607"/>
      <c r="N107" s="607"/>
      <c r="O107" s="607"/>
      <c r="P107" s="607"/>
      <c r="Q107" s="607"/>
      <c r="R107" s="607"/>
      <c r="S107" s="607"/>
      <c r="T107" s="607"/>
      <c r="U107" s="607"/>
      <c r="V107" s="607"/>
      <c r="W107" s="607"/>
      <c r="X107" s="607"/>
      <c r="Y107" s="607"/>
      <c r="Z107" s="607"/>
      <c r="AA107" s="607"/>
      <c r="AB107" s="607"/>
      <c r="AC107" s="607"/>
      <c r="AD107" s="607"/>
      <c r="AE107" s="607"/>
      <c r="AF107" s="607"/>
      <c r="AG107" s="607"/>
      <c r="AH107" s="607"/>
      <c r="AI107" s="607"/>
      <c r="AJ107" s="607"/>
      <c r="AK107" s="607"/>
      <c r="AL107" s="607"/>
      <c r="AM107" s="607"/>
      <c r="AN107" s="607"/>
      <c r="AO107" s="607"/>
      <c r="AP107" s="607"/>
      <c r="AQ107" s="607"/>
      <c r="AR107" s="607"/>
      <c r="AS107" s="607"/>
      <c r="AT107" s="607"/>
      <c r="AU107" s="607"/>
      <c r="AV107" s="607"/>
      <c r="AW107" s="607"/>
      <c r="AX107" s="607"/>
      <c r="AY107" s="607"/>
      <c r="AZ107" s="607"/>
      <c r="BA107" s="607"/>
      <c r="BB107" s="607"/>
      <c r="BC107" s="607"/>
      <c r="BD107" s="607"/>
      <c r="BE107" s="607"/>
      <c r="BF107" s="607"/>
      <c r="BG107" s="607"/>
      <c r="BH107" s="607"/>
      <c r="BI107" s="607"/>
      <c r="BJ107" s="607"/>
      <c r="BK107" s="607"/>
      <c r="BL107" s="607"/>
      <c r="BM107" s="607"/>
      <c r="BN107" s="607"/>
      <c r="BO107" s="607"/>
      <c r="BP107" s="607"/>
      <c r="BQ107" s="607"/>
      <c r="BR107" s="607"/>
      <c r="BS107" s="607"/>
      <c r="BT107" s="607"/>
      <c r="BU107" s="607"/>
      <c r="BV107" s="607"/>
      <c r="BW107" s="608"/>
      <c r="BX107" s="518">
        <f>BX99*C108</f>
        <v>10005848.196095191</v>
      </c>
      <c r="BY107" s="336"/>
      <c r="BZ107" s="268"/>
      <c r="CA107" s="268"/>
      <c r="CB107" s="268"/>
      <c r="CC107" s="268"/>
      <c r="CD107" s="268"/>
      <c r="CE107" s="268"/>
      <c r="CF107" s="268"/>
      <c r="CG107" s="268"/>
      <c r="CH107" s="268"/>
      <c r="CI107" s="268"/>
      <c r="CJ107" s="268"/>
      <c r="CK107" s="268"/>
      <c r="CL107" s="268"/>
      <c r="CM107" s="268"/>
      <c r="CN107" s="268"/>
      <c r="CO107" s="268"/>
      <c r="CP107" s="268"/>
      <c r="CQ107" s="268"/>
      <c r="CR107" s="268"/>
      <c r="CS107" s="268"/>
      <c r="CT107" s="268"/>
      <c r="CU107" s="268"/>
      <c r="CV107" s="268"/>
      <c r="CW107" s="268"/>
      <c r="CX107" s="268"/>
      <c r="CY107" s="268"/>
      <c r="CZ107" s="268"/>
      <c r="DA107" s="268"/>
      <c r="DB107" s="268"/>
      <c r="DC107" s="268"/>
      <c r="DD107" s="268"/>
      <c r="DE107" s="268"/>
      <c r="DF107" s="268"/>
      <c r="DG107" s="268"/>
      <c r="DH107" s="268"/>
      <c r="DI107" s="268"/>
      <c r="DJ107" s="268"/>
      <c r="DK107" s="268"/>
      <c r="DL107" s="268"/>
      <c r="DM107" s="268"/>
      <c r="DN107" s="268"/>
      <c r="DO107" s="268"/>
      <c r="DP107" s="268"/>
      <c r="DQ107" s="268"/>
      <c r="DR107" s="268"/>
      <c r="DS107" s="268"/>
      <c r="DT107" s="268"/>
      <c r="DU107" s="268"/>
      <c r="DV107" s="268"/>
      <c r="DW107" s="268"/>
      <c r="DX107" s="268"/>
      <c r="DY107" s="268"/>
      <c r="DZ107" s="268"/>
      <c r="EA107" s="268"/>
      <c r="EB107" s="268"/>
      <c r="EC107" s="268"/>
      <c r="ED107" s="268"/>
      <c r="EE107" s="268"/>
      <c r="EF107" s="268"/>
      <c r="EG107" s="268"/>
      <c r="EH107" s="268"/>
    </row>
    <row r="108" spans="1:138" ht="18.95" hidden="1">
      <c r="A108" s="268"/>
      <c r="B108" s="268"/>
      <c r="C108" s="519">
        <v>0.2</v>
      </c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  <c r="X108" s="268"/>
      <c r="Y108" s="268"/>
      <c r="Z108" s="268"/>
      <c r="AA108" s="268"/>
      <c r="AB108" s="268"/>
      <c r="AC108" s="268"/>
      <c r="AD108" s="268"/>
      <c r="AE108" s="268"/>
      <c r="AF108" s="268"/>
      <c r="AG108" s="268"/>
      <c r="AH108" s="268"/>
      <c r="AI108" s="268"/>
      <c r="AJ108" s="268"/>
      <c r="AK108" s="268"/>
      <c r="AL108" s="268"/>
      <c r="AM108" s="268"/>
      <c r="AN108" s="268"/>
      <c r="AO108" s="268"/>
      <c r="AP108" s="268"/>
      <c r="AQ108" s="268"/>
      <c r="AR108" s="268"/>
      <c r="AS108" s="268"/>
      <c r="AT108" s="268"/>
      <c r="AU108" s="268"/>
      <c r="AV108" s="268"/>
      <c r="AW108" s="268"/>
      <c r="AX108" s="268"/>
      <c r="AY108" s="268"/>
      <c r="AZ108" s="268"/>
      <c r="BA108" s="268"/>
      <c r="BB108" s="268"/>
      <c r="BC108" s="268"/>
      <c r="BD108" s="268"/>
      <c r="BE108" s="268"/>
      <c r="BF108" s="268"/>
      <c r="BG108" s="268"/>
      <c r="BH108" s="268"/>
      <c r="BI108" s="268"/>
      <c r="BJ108" s="268"/>
      <c r="BK108" s="268"/>
      <c r="BL108" s="268"/>
      <c r="BM108" s="268"/>
      <c r="BN108" s="268"/>
      <c r="BO108" s="268"/>
      <c r="BP108" s="268"/>
      <c r="BQ108" s="268"/>
      <c r="BR108" s="268"/>
      <c r="BS108" s="268"/>
      <c r="BT108" s="268"/>
      <c r="BU108" s="268"/>
      <c r="BV108" s="268"/>
      <c r="BW108" s="268"/>
      <c r="BX108" s="268"/>
      <c r="BY108" s="336"/>
      <c r="BZ108" s="268"/>
      <c r="CA108" s="268"/>
      <c r="CB108" s="268"/>
      <c r="CC108" s="268"/>
      <c r="CD108" s="268"/>
      <c r="CE108" s="268"/>
      <c r="CF108" s="268"/>
      <c r="CG108" s="268"/>
      <c r="CH108" s="268"/>
      <c r="CI108" s="268"/>
      <c r="CJ108" s="268"/>
      <c r="CK108" s="268"/>
      <c r="CL108" s="268"/>
      <c r="CM108" s="268"/>
      <c r="CN108" s="268"/>
      <c r="CO108" s="268"/>
      <c r="CP108" s="268"/>
      <c r="CQ108" s="268"/>
      <c r="CR108" s="268"/>
      <c r="CS108" s="268"/>
      <c r="CT108" s="268"/>
      <c r="CU108" s="268"/>
      <c r="CV108" s="268"/>
      <c r="CW108" s="268"/>
      <c r="CX108" s="268"/>
      <c r="CY108" s="268"/>
      <c r="CZ108" s="268"/>
      <c r="DA108" s="268"/>
      <c r="DB108" s="268"/>
      <c r="DC108" s="268"/>
      <c r="DD108" s="268"/>
      <c r="DE108" s="268"/>
      <c r="DF108" s="268"/>
      <c r="DG108" s="268"/>
      <c r="DH108" s="268"/>
      <c r="DI108" s="268"/>
      <c r="DJ108" s="268"/>
      <c r="DK108" s="268"/>
      <c r="DL108" s="268"/>
      <c r="DM108" s="268"/>
      <c r="DN108" s="268"/>
      <c r="DO108" s="268"/>
      <c r="DP108" s="268"/>
      <c r="DQ108" s="268"/>
      <c r="DR108" s="268"/>
      <c r="DS108" s="268"/>
      <c r="DT108" s="268"/>
      <c r="DU108" s="268"/>
      <c r="DV108" s="268"/>
      <c r="DW108" s="268"/>
      <c r="DX108" s="268"/>
      <c r="DY108" s="268"/>
      <c r="DZ108" s="268"/>
      <c r="EA108" s="268"/>
      <c r="EB108" s="268"/>
      <c r="EC108" s="268"/>
      <c r="ED108" s="268"/>
      <c r="EE108" s="268"/>
      <c r="EF108" s="268"/>
      <c r="EG108" s="268"/>
      <c r="EH108" s="268"/>
    </row>
    <row r="109" spans="1:138" hidden="1">
      <c r="A109" s="268"/>
      <c r="B109" s="268"/>
      <c r="C109" s="268"/>
      <c r="D109" s="268"/>
      <c r="E109" s="268"/>
      <c r="F109" s="268"/>
      <c r="G109" s="268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  <c r="W109" s="268"/>
      <c r="X109" s="268"/>
      <c r="Y109" s="268"/>
      <c r="Z109" s="268"/>
      <c r="AA109" s="268"/>
      <c r="AB109" s="268"/>
      <c r="AC109" s="268"/>
      <c r="AD109" s="268"/>
      <c r="AE109" s="268"/>
      <c r="AF109" s="268"/>
      <c r="AG109" s="268"/>
      <c r="AH109" s="268"/>
      <c r="AI109" s="268"/>
      <c r="AJ109" s="268"/>
      <c r="AK109" s="268"/>
      <c r="AL109" s="268"/>
      <c r="AM109" s="268"/>
      <c r="AN109" s="268"/>
      <c r="AO109" s="268"/>
      <c r="AP109" s="268"/>
      <c r="AQ109" s="268"/>
      <c r="AR109" s="268"/>
      <c r="AS109" s="268"/>
      <c r="AT109" s="268"/>
      <c r="AU109" s="268"/>
      <c r="AV109" s="268"/>
      <c r="AW109" s="268"/>
      <c r="AX109" s="268"/>
      <c r="AY109" s="268"/>
      <c r="AZ109" s="268"/>
      <c r="BA109" s="268"/>
      <c r="BB109" s="268"/>
      <c r="BC109" s="268"/>
      <c r="BD109" s="268"/>
      <c r="BE109" s="268"/>
      <c r="BF109" s="268"/>
      <c r="BG109" s="268"/>
      <c r="BH109" s="268"/>
      <c r="BI109" s="268"/>
      <c r="BJ109" s="268"/>
      <c r="BK109" s="268"/>
      <c r="BL109" s="268"/>
      <c r="BM109" s="268"/>
      <c r="BN109" s="268"/>
      <c r="BO109" s="268"/>
      <c r="BP109" s="268"/>
      <c r="BQ109" s="268"/>
      <c r="BR109" s="268"/>
      <c r="BS109" s="268"/>
      <c r="BT109" s="268"/>
      <c r="BU109" s="268"/>
      <c r="BV109" s="268"/>
      <c r="BW109" s="268"/>
      <c r="BX109" s="268"/>
      <c r="BY109" s="336"/>
      <c r="BZ109" s="268"/>
      <c r="CA109" s="268"/>
      <c r="CB109" s="268"/>
      <c r="CC109" s="268"/>
      <c r="CD109" s="268"/>
      <c r="CE109" s="268"/>
      <c r="CF109" s="268"/>
      <c r="CG109" s="268"/>
      <c r="CH109" s="268"/>
      <c r="CI109" s="268"/>
      <c r="CJ109" s="268"/>
      <c r="CK109" s="268"/>
      <c r="CL109" s="268"/>
      <c r="CM109" s="268"/>
      <c r="CN109" s="268"/>
      <c r="CO109" s="268"/>
      <c r="CP109" s="268"/>
      <c r="CQ109" s="268"/>
      <c r="CR109" s="268"/>
      <c r="CS109" s="268"/>
      <c r="CT109" s="268"/>
      <c r="CU109" s="268"/>
      <c r="CV109" s="268"/>
      <c r="CW109" s="268"/>
      <c r="CX109" s="268"/>
      <c r="CY109" s="268"/>
      <c r="CZ109" s="268"/>
      <c r="DA109" s="268"/>
      <c r="DB109" s="268"/>
      <c r="DC109" s="268"/>
      <c r="DD109" s="268"/>
      <c r="DE109" s="268"/>
      <c r="DF109" s="268"/>
      <c r="DG109" s="268"/>
      <c r="DH109" s="268"/>
      <c r="DI109" s="268"/>
      <c r="DJ109" s="268"/>
      <c r="DK109" s="268"/>
      <c r="DL109" s="268"/>
      <c r="DM109" s="268"/>
      <c r="DN109" s="268"/>
      <c r="DO109" s="268"/>
      <c r="DP109" s="268"/>
      <c r="DQ109" s="268"/>
      <c r="DR109" s="268"/>
      <c r="DS109" s="268"/>
      <c r="DT109" s="268"/>
      <c r="DU109" s="268"/>
      <c r="DV109" s="268"/>
      <c r="DW109" s="268"/>
      <c r="DX109" s="268"/>
      <c r="DY109" s="268"/>
      <c r="DZ109" s="268"/>
      <c r="EA109" s="268"/>
      <c r="EB109" s="268"/>
      <c r="EC109" s="268"/>
      <c r="ED109" s="268"/>
      <c r="EE109" s="268"/>
      <c r="EF109" s="268"/>
      <c r="EG109" s="268"/>
      <c r="EH109" s="268"/>
    </row>
    <row r="110" spans="1:138" hidden="1">
      <c r="A110" s="268"/>
      <c r="B110" s="268"/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341"/>
      <c r="BE110" s="341"/>
      <c r="BF110" s="341"/>
      <c r="BG110" s="341"/>
      <c r="BH110" s="341"/>
      <c r="BI110" s="341"/>
      <c r="BJ110" s="341"/>
      <c r="BK110" s="341"/>
      <c r="BL110" s="341"/>
      <c r="BM110" s="268"/>
      <c r="BN110" s="268"/>
      <c r="BO110" s="268"/>
      <c r="BP110" s="268"/>
      <c r="BQ110" s="268"/>
      <c r="BR110" s="268"/>
      <c r="BS110" s="268"/>
      <c r="BT110" s="268"/>
      <c r="BU110" s="268"/>
      <c r="BV110" s="268"/>
      <c r="BW110" s="268"/>
      <c r="BX110" s="268"/>
      <c r="BY110" s="268"/>
      <c r="BZ110" s="268"/>
      <c r="CA110" s="268"/>
      <c r="CB110" s="268"/>
      <c r="CC110" s="268"/>
      <c r="CD110" s="268"/>
      <c r="CE110" s="268"/>
      <c r="CF110" s="268"/>
      <c r="CG110" s="268"/>
      <c r="CH110" s="268"/>
      <c r="CI110" s="268"/>
      <c r="CJ110" s="268"/>
      <c r="CK110" s="268"/>
      <c r="CL110" s="268"/>
      <c r="CM110" s="268"/>
      <c r="CN110" s="268"/>
      <c r="CO110" s="268"/>
      <c r="CP110" s="268"/>
      <c r="CQ110" s="268"/>
      <c r="CR110" s="268"/>
      <c r="CS110" s="268"/>
      <c r="CT110" s="268"/>
      <c r="CU110" s="268"/>
      <c r="CV110" s="268"/>
      <c r="CW110" s="268"/>
      <c r="CX110" s="268"/>
      <c r="CY110" s="268"/>
      <c r="CZ110" s="268"/>
      <c r="DA110" s="268"/>
      <c r="DB110" s="268"/>
      <c r="DC110" s="268"/>
      <c r="DD110" s="268"/>
      <c r="DE110" s="268"/>
      <c r="DF110" s="268"/>
      <c r="DG110" s="268"/>
      <c r="DH110" s="268"/>
      <c r="DI110" s="268"/>
      <c r="DJ110" s="268"/>
      <c r="DK110" s="268"/>
      <c r="DL110" s="268"/>
      <c r="DM110" s="268"/>
      <c r="DN110" s="268"/>
      <c r="DO110" s="268"/>
      <c r="DP110" s="268"/>
      <c r="DQ110" s="268"/>
      <c r="DR110" s="268"/>
      <c r="DS110" s="268"/>
      <c r="DT110" s="268"/>
      <c r="DU110" s="268"/>
      <c r="DV110" s="268"/>
      <c r="DW110" s="268"/>
      <c r="DX110" s="268"/>
      <c r="DY110" s="268"/>
      <c r="DZ110" s="268"/>
      <c r="EA110" s="268"/>
      <c r="EB110" s="268"/>
      <c r="EC110" s="268"/>
      <c r="ED110" s="268"/>
      <c r="EE110" s="268"/>
      <c r="EF110" s="268"/>
      <c r="EG110" s="268"/>
      <c r="EH110" s="268"/>
    </row>
    <row r="111" spans="1:138" hidden="1">
      <c r="A111" s="268"/>
      <c r="B111" s="342"/>
      <c r="C111" s="339" t="s">
        <v>331</v>
      </c>
      <c r="D111" s="515"/>
      <c r="E111" s="516">
        <f t="shared" ref="E111:O111" si="38">-(E5+E90)</f>
        <v>0</v>
      </c>
      <c r="F111" s="516">
        <f t="shared" si="38"/>
        <v>0</v>
      </c>
      <c r="G111" s="516">
        <f t="shared" si="38"/>
        <v>0</v>
      </c>
      <c r="H111" s="516">
        <f t="shared" si="38"/>
        <v>0</v>
      </c>
      <c r="I111" s="516">
        <f t="shared" si="38"/>
        <v>0</v>
      </c>
      <c r="J111" s="516">
        <f t="shared" si="38"/>
        <v>0</v>
      </c>
      <c r="K111" s="516">
        <f t="shared" si="38"/>
        <v>0</v>
      </c>
      <c r="L111" s="516">
        <f t="shared" si="38"/>
        <v>0</v>
      </c>
      <c r="M111" s="516">
        <f t="shared" si="38"/>
        <v>0</v>
      </c>
      <c r="N111" s="516">
        <f t="shared" si="38"/>
        <v>0</v>
      </c>
      <c r="O111" s="516">
        <f t="shared" si="38"/>
        <v>0</v>
      </c>
      <c r="P111" s="516">
        <f>-(P5+P6+P90+P91)</f>
        <v>0</v>
      </c>
      <c r="Q111" s="516">
        <f t="shared" ref="Q111:AV111" si="39">-(Q5+Q90)</f>
        <v>0</v>
      </c>
      <c r="R111" s="516">
        <f t="shared" si="39"/>
        <v>0</v>
      </c>
      <c r="S111" s="516">
        <f t="shared" si="39"/>
        <v>0</v>
      </c>
      <c r="T111" s="516">
        <f t="shared" si="39"/>
        <v>0</v>
      </c>
      <c r="U111" s="516">
        <f t="shared" si="39"/>
        <v>0</v>
      </c>
      <c r="V111" s="516">
        <f t="shared" si="39"/>
        <v>0</v>
      </c>
      <c r="W111" s="516">
        <f t="shared" si="39"/>
        <v>0</v>
      </c>
      <c r="X111" s="516">
        <f t="shared" si="39"/>
        <v>0</v>
      </c>
      <c r="Y111" s="516">
        <f t="shared" si="39"/>
        <v>0</v>
      </c>
      <c r="Z111" s="516">
        <f t="shared" si="39"/>
        <v>0</v>
      </c>
      <c r="AA111" s="516">
        <f t="shared" si="39"/>
        <v>0</v>
      </c>
      <c r="AB111" s="516">
        <f t="shared" si="39"/>
        <v>0</v>
      </c>
      <c r="AC111" s="516">
        <f t="shared" si="39"/>
        <v>0</v>
      </c>
      <c r="AD111" s="516">
        <f t="shared" si="39"/>
        <v>0</v>
      </c>
      <c r="AE111" s="516">
        <f t="shared" si="39"/>
        <v>0</v>
      </c>
      <c r="AF111" s="516">
        <f t="shared" si="39"/>
        <v>0</v>
      </c>
      <c r="AG111" s="516">
        <f t="shared" si="39"/>
        <v>0</v>
      </c>
      <c r="AH111" s="516">
        <f t="shared" si="39"/>
        <v>0</v>
      </c>
      <c r="AI111" s="516">
        <f t="shared" si="39"/>
        <v>0</v>
      </c>
      <c r="AJ111" s="516">
        <f t="shared" si="39"/>
        <v>0</v>
      </c>
      <c r="AK111" s="516">
        <f t="shared" si="39"/>
        <v>0</v>
      </c>
      <c r="AL111" s="516">
        <f t="shared" si="39"/>
        <v>0</v>
      </c>
      <c r="AM111" s="516">
        <f t="shared" si="39"/>
        <v>0</v>
      </c>
      <c r="AN111" s="516">
        <f t="shared" si="39"/>
        <v>0</v>
      </c>
      <c r="AO111" s="516">
        <f t="shared" si="39"/>
        <v>0</v>
      </c>
      <c r="AP111" s="516">
        <f t="shared" si="39"/>
        <v>0</v>
      </c>
      <c r="AQ111" s="516">
        <f t="shared" si="39"/>
        <v>0</v>
      </c>
      <c r="AR111" s="516">
        <f t="shared" si="39"/>
        <v>0</v>
      </c>
      <c r="AS111" s="516">
        <f t="shared" si="39"/>
        <v>0</v>
      </c>
      <c r="AT111" s="516">
        <f t="shared" si="39"/>
        <v>0</v>
      </c>
      <c r="AU111" s="516">
        <f t="shared" si="39"/>
        <v>0</v>
      </c>
      <c r="AV111" s="516">
        <f t="shared" si="39"/>
        <v>0</v>
      </c>
      <c r="AW111" s="516">
        <f t="shared" ref="AW111:BX111" si="40">-(AW5+AW90)</f>
        <v>0</v>
      </c>
      <c r="AX111" s="516">
        <f t="shared" si="40"/>
        <v>0</v>
      </c>
      <c r="AY111" s="516">
        <f t="shared" si="40"/>
        <v>0</v>
      </c>
      <c r="AZ111" s="516">
        <f t="shared" si="40"/>
        <v>0</v>
      </c>
      <c r="BA111" s="516">
        <f t="shared" si="40"/>
        <v>0</v>
      </c>
      <c r="BB111" s="516">
        <f t="shared" si="40"/>
        <v>0</v>
      </c>
      <c r="BC111" s="516">
        <f t="shared" si="40"/>
        <v>0</v>
      </c>
      <c r="BD111" s="516">
        <f t="shared" si="40"/>
        <v>0</v>
      </c>
      <c r="BE111" s="516">
        <f t="shared" si="40"/>
        <v>0</v>
      </c>
      <c r="BF111" s="516">
        <f t="shared" si="40"/>
        <v>0</v>
      </c>
      <c r="BG111" s="516">
        <f t="shared" si="40"/>
        <v>0</v>
      </c>
      <c r="BH111" s="516">
        <f t="shared" si="40"/>
        <v>0</v>
      </c>
      <c r="BI111" s="516">
        <f t="shared" si="40"/>
        <v>0</v>
      </c>
      <c r="BJ111" s="516">
        <f t="shared" si="40"/>
        <v>0</v>
      </c>
      <c r="BK111" s="516">
        <f t="shared" si="40"/>
        <v>0</v>
      </c>
      <c r="BL111" s="516">
        <f t="shared" si="40"/>
        <v>0</v>
      </c>
      <c r="BM111" s="516">
        <f t="shared" si="40"/>
        <v>0</v>
      </c>
      <c r="BN111" s="516">
        <f t="shared" si="40"/>
        <v>0</v>
      </c>
      <c r="BO111" s="516">
        <f t="shared" si="40"/>
        <v>0</v>
      </c>
      <c r="BP111" s="516">
        <f t="shared" si="40"/>
        <v>0</v>
      </c>
      <c r="BQ111" s="516">
        <f t="shared" si="40"/>
        <v>0</v>
      </c>
      <c r="BR111" s="516">
        <f t="shared" si="40"/>
        <v>0</v>
      </c>
      <c r="BS111" s="516">
        <f t="shared" si="40"/>
        <v>0</v>
      </c>
      <c r="BT111" s="516">
        <f t="shared" si="40"/>
        <v>0</v>
      </c>
      <c r="BU111" s="516">
        <f t="shared" si="40"/>
        <v>0</v>
      </c>
      <c r="BV111" s="516">
        <f t="shared" si="40"/>
        <v>0</v>
      </c>
      <c r="BW111" s="516">
        <f t="shared" si="40"/>
        <v>0</v>
      </c>
      <c r="BX111" s="516">
        <f t="shared" si="40"/>
        <v>0</v>
      </c>
      <c r="BY111" s="268"/>
      <c r="BZ111" s="268"/>
      <c r="CA111" s="268"/>
      <c r="CB111" s="268"/>
      <c r="CC111" s="268"/>
      <c r="CD111" s="268"/>
      <c r="CE111" s="268"/>
      <c r="CF111" s="268"/>
      <c r="CG111" s="268"/>
      <c r="CH111" s="268"/>
      <c r="CI111" s="268"/>
      <c r="CJ111" s="268"/>
      <c r="CK111" s="268"/>
      <c r="CL111" s="268"/>
      <c r="CM111" s="268"/>
      <c r="CN111" s="268"/>
      <c r="CO111" s="268"/>
      <c r="CP111" s="268"/>
      <c r="CQ111" s="268"/>
      <c r="CR111" s="268"/>
      <c r="CS111" s="268"/>
      <c r="CT111" s="268"/>
      <c r="CU111" s="268"/>
      <c r="CV111" s="268"/>
      <c r="CW111" s="268"/>
      <c r="CX111" s="268"/>
      <c r="CY111" s="268"/>
      <c r="CZ111" s="268"/>
      <c r="DA111" s="268"/>
      <c r="DB111" s="268"/>
      <c r="DC111" s="268"/>
      <c r="DD111" s="268"/>
      <c r="DE111" s="268"/>
      <c r="DF111" s="268"/>
      <c r="DG111" s="268"/>
      <c r="DH111" s="268"/>
      <c r="DI111" s="268"/>
      <c r="DJ111" s="268"/>
      <c r="DK111" s="268"/>
      <c r="DL111" s="268"/>
      <c r="DM111" s="268"/>
      <c r="DN111" s="268"/>
      <c r="DO111" s="268"/>
      <c r="DP111" s="268"/>
      <c r="DQ111" s="268"/>
      <c r="DR111" s="268"/>
      <c r="DS111" s="268"/>
      <c r="DT111" s="268"/>
      <c r="DU111" s="268"/>
      <c r="DV111" s="268"/>
      <c r="DW111" s="268"/>
      <c r="DX111" s="268"/>
      <c r="DY111" s="268"/>
      <c r="DZ111" s="268"/>
      <c r="EA111" s="268"/>
      <c r="EB111" s="268"/>
      <c r="EC111" s="268"/>
      <c r="ED111" s="268"/>
      <c r="EE111" s="268"/>
      <c r="EF111" s="268"/>
      <c r="EG111" s="268"/>
      <c r="EH111" s="268"/>
    </row>
    <row r="112" spans="1:138" hidden="1">
      <c r="A112" s="268"/>
      <c r="B112" s="342"/>
      <c r="C112" s="339" t="s">
        <v>332</v>
      </c>
      <c r="D112" s="520"/>
      <c r="E112" s="515"/>
      <c r="F112" s="515"/>
      <c r="G112" s="515"/>
      <c r="H112" s="515"/>
      <c r="I112" s="515"/>
      <c r="J112" s="515"/>
      <c r="K112" s="515"/>
      <c r="L112" s="515"/>
      <c r="M112" s="515"/>
      <c r="N112" s="515"/>
      <c r="O112" s="515"/>
      <c r="P112" s="515"/>
      <c r="Q112" s="515"/>
      <c r="R112" s="515"/>
      <c r="S112" s="515"/>
      <c r="T112" s="515"/>
      <c r="U112" s="515"/>
      <c r="V112" s="515"/>
      <c r="W112" s="515"/>
      <c r="X112" s="515"/>
      <c r="Y112" s="515"/>
      <c r="Z112" s="515"/>
      <c r="AA112" s="515"/>
      <c r="AB112" s="515"/>
      <c r="AC112" s="515"/>
      <c r="AD112" s="515"/>
      <c r="AE112" s="515"/>
      <c r="AF112" s="515"/>
      <c r="AG112" s="515"/>
      <c r="AH112" s="515"/>
      <c r="AI112" s="515"/>
      <c r="AJ112" s="515"/>
      <c r="AK112" s="515"/>
      <c r="AL112" s="515"/>
      <c r="AM112" s="515"/>
      <c r="AN112" s="515"/>
      <c r="AO112" s="515"/>
      <c r="AP112" s="515"/>
      <c r="AQ112" s="515"/>
      <c r="AR112" s="515"/>
      <c r="AS112" s="515"/>
      <c r="AT112" s="515"/>
      <c r="AU112" s="515"/>
      <c r="AV112" s="515"/>
      <c r="AW112" s="515"/>
      <c r="AX112" s="515"/>
      <c r="AY112" s="515"/>
      <c r="AZ112" s="515"/>
      <c r="BA112" s="515"/>
      <c r="BB112" s="515"/>
      <c r="BC112" s="515"/>
      <c r="BD112" s="515"/>
      <c r="BE112" s="515"/>
      <c r="BF112" s="515"/>
      <c r="BG112" s="515"/>
      <c r="BH112" s="515"/>
      <c r="BI112" s="515"/>
      <c r="BJ112" s="515"/>
      <c r="BK112" s="515"/>
      <c r="BL112" s="515"/>
      <c r="BM112" s="515"/>
      <c r="BN112" s="515"/>
      <c r="BO112" s="515"/>
      <c r="BP112" s="515"/>
      <c r="BQ112" s="515"/>
      <c r="BR112" s="515"/>
      <c r="BS112" s="515"/>
      <c r="BT112" s="515"/>
      <c r="BU112" s="515"/>
      <c r="BV112" s="515"/>
      <c r="BW112" s="515"/>
      <c r="BX112" s="515"/>
      <c r="BY112" s="268"/>
      <c r="BZ112" s="268"/>
      <c r="CA112" s="268"/>
      <c r="CB112" s="268"/>
      <c r="CC112" s="268"/>
      <c r="CD112" s="268"/>
      <c r="CE112" s="268"/>
      <c r="CF112" s="268"/>
      <c r="CG112" s="268"/>
      <c r="CH112" s="268"/>
      <c r="CI112" s="268"/>
      <c r="CJ112" s="268"/>
      <c r="CK112" s="268"/>
      <c r="CL112" s="268"/>
      <c r="CM112" s="268"/>
      <c r="CN112" s="268"/>
      <c r="CO112" s="268"/>
      <c r="CP112" s="268"/>
      <c r="CQ112" s="268"/>
      <c r="CR112" s="268"/>
      <c r="CS112" s="268"/>
      <c r="CT112" s="268"/>
      <c r="CU112" s="268"/>
      <c r="CV112" s="268"/>
      <c r="CW112" s="268"/>
      <c r="CX112" s="268"/>
      <c r="CY112" s="268"/>
      <c r="CZ112" s="268"/>
      <c r="DA112" s="268"/>
      <c r="DB112" s="268"/>
      <c r="DC112" s="268"/>
      <c r="DD112" s="268"/>
      <c r="DE112" s="268"/>
      <c r="DF112" s="268"/>
      <c r="DG112" s="268"/>
      <c r="DH112" s="268"/>
      <c r="DI112" s="268"/>
      <c r="DJ112" s="268"/>
      <c r="DK112" s="268"/>
      <c r="DL112" s="268"/>
      <c r="DM112" s="268"/>
      <c r="DN112" s="268"/>
      <c r="DO112" s="268"/>
      <c r="DP112" s="268"/>
      <c r="DQ112" s="268"/>
      <c r="DR112" s="268"/>
      <c r="DS112" s="268"/>
      <c r="DT112" s="268"/>
      <c r="DU112" s="268"/>
      <c r="DV112" s="268"/>
      <c r="DW112" s="268"/>
      <c r="DX112" s="268"/>
      <c r="DY112" s="268"/>
      <c r="DZ112" s="268"/>
      <c r="EA112" s="268"/>
      <c r="EB112" s="268"/>
      <c r="EC112" s="268"/>
      <c r="ED112" s="268"/>
      <c r="EE112" s="268"/>
      <c r="EF112" s="268"/>
      <c r="EG112" s="268"/>
      <c r="EH112" s="268"/>
    </row>
    <row r="113" spans="1:138" hidden="1">
      <c r="A113" s="268"/>
      <c r="B113" s="342"/>
      <c r="C113" s="339" t="s">
        <v>333</v>
      </c>
      <c r="D113" s="520"/>
      <c r="E113" s="515">
        <f t="shared" ref="E113:BX113" si="41">-E55</f>
        <v>0</v>
      </c>
      <c r="F113" s="515">
        <f t="shared" si="41"/>
        <v>0</v>
      </c>
      <c r="G113" s="515">
        <f t="shared" si="41"/>
        <v>0</v>
      </c>
      <c r="H113" s="515">
        <f t="shared" si="41"/>
        <v>0</v>
      </c>
      <c r="I113" s="515">
        <f t="shared" si="41"/>
        <v>0</v>
      </c>
      <c r="J113" s="515">
        <f t="shared" si="41"/>
        <v>0</v>
      </c>
      <c r="K113" s="515">
        <f t="shared" si="41"/>
        <v>0</v>
      </c>
      <c r="L113" s="515">
        <f t="shared" si="41"/>
        <v>0</v>
      </c>
      <c r="M113" s="515">
        <f t="shared" si="41"/>
        <v>0</v>
      </c>
      <c r="N113" s="515">
        <f t="shared" si="41"/>
        <v>0</v>
      </c>
      <c r="O113" s="515">
        <f t="shared" si="41"/>
        <v>0</v>
      </c>
      <c r="P113" s="515">
        <f t="shared" si="41"/>
        <v>0</v>
      </c>
      <c r="Q113" s="515">
        <f t="shared" si="41"/>
        <v>0</v>
      </c>
      <c r="R113" s="515">
        <f t="shared" si="41"/>
        <v>0</v>
      </c>
      <c r="S113" s="515">
        <f t="shared" si="41"/>
        <v>0</v>
      </c>
      <c r="T113" s="515">
        <f t="shared" si="41"/>
        <v>0</v>
      </c>
      <c r="U113" s="515">
        <f t="shared" si="41"/>
        <v>0</v>
      </c>
      <c r="V113" s="515">
        <f t="shared" si="41"/>
        <v>0</v>
      </c>
      <c r="W113" s="515">
        <f t="shared" si="41"/>
        <v>0</v>
      </c>
      <c r="X113" s="515">
        <f t="shared" si="41"/>
        <v>0</v>
      </c>
      <c r="Y113" s="515">
        <f t="shared" si="41"/>
        <v>0</v>
      </c>
      <c r="Z113" s="515">
        <f t="shared" si="41"/>
        <v>0</v>
      </c>
      <c r="AA113" s="515">
        <f t="shared" si="41"/>
        <v>0</v>
      </c>
      <c r="AB113" s="515">
        <f t="shared" si="41"/>
        <v>0</v>
      </c>
      <c r="AC113" s="515">
        <f t="shared" si="41"/>
        <v>0</v>
      </c>
      <c r="AD113" s="515">
        <f t="shared" si="41"/>
        <v>0</v>
      </c>
      <c r="AE113" s="515">
        <f t="shared" si="41"/>
        <v>0</v>
      </c>
      <c r="AF113" s="515">
        <f t="shared" si="41"/>
        <v>0</v>
      </c>
      <c r="AG113" s="515">
        <f t="shared" si="41"/>
        <v>0</v>
      </c>
      <c r="AH113" s="515">
        <f t="shared" si="41"/>
        <v>0</v>
      </c>
      <c r="AI113" s="515">
        <f t="shared" si="41"/>
        <v>0</v>
      </c>
      <c r="AJ113" s="515">
        <f t="shared" si="41"/>
        <v>0</v>
      </c>
      <c r="AK113" s="515">
        <f t="shared" si="41"/>
        <v>0</v>
      </c>
      <c r="AL113" s="515">
        <f t="shared" si="41"/>
        <v>0</v>
      </c>
      <c r="AM113" s="515">
        <f t="shared" si="41"/>
        <v>0</v>
      </c>
      <c r="AN113" s="515">
        <f t="shared" si="41"/>
        <v>0</v>
      </c>
      <c r="AO113" s="515">
        <f t="shared" si="41"/>
        <v>0</v>
      </c>
      <c r="AP113" s="515">
        <f t="shared" si="41"/>
        <v>0</v>
      </c>
      <c r="AQ113" s="515">
        <f t="shared" si="41"/>
        <v>0</v>
      </c>
      <c r="AR113" s="515">
        <f t="shared" si="41"/>
        <v>0</v>
      </c>
      <c r="AS113" s="515">
        <f t="shared" si="41"/>
        <v>0</v>
      </c>
      <c r="AT113" s="515">
        <f t="shared" si="41"/>
        <v>0</v>
      </c>
      <c r="AU113" s="515">
        <f t="shared" si="41"/>
        <v>0</v>
      </c>
      <c r="AV113" s="515">
        <f t="shared" si="41"/>
        <v>0</v>
      </c>
      <c r="AW113" s="515">
        <f t="shared" si="41"/>
        <v>0</v>
      </c>
      <c r="AX113" s="515">
        <f t="shared" si="41"/>
        <v>0</v>
      </c>
      <c r="AY113" s="515">
        <f t="shared" si="41"/>
        <v>0</v>
      </c>
      <c r="AZ113" s="515">
        <f t="shared" si="41"/>
        <v>0</v>
      </c>
      <c r="BA113" s="515">
        <f t="shared" si="41"/>
        <v>0</v>
      </c>
      <c r="BB113" s="515">
        <f t="shared" si="41"/>
        <v>0</v>
      </c>
      <c r="BC113" s="515">
        <f t="shared" si="41"/>
        <v>0</v>
      </c>
      <c r="BD113" s="515">
        <f t="shared" si="41"/>
        <v>0</v>
      </c>
      <c r="BE113" s="515">
        <f t="shared" si="41"/>
        <v>0</v>
      </c>
      <c r="BF113" s="515">
        <f t="shared" si="41"/>
        <v>0</v>
      </c>
      <c r="BG113" s="515">
        <f t="shared" si="41"/>
        <v>0</v>
      </c>
      <c r="BH113" s="515">
        <f t="shared" si="41"/>
        <v>0</v>
      </c>
      <c r="BI113" s="515">
        <f t="shared" si="41"/>
        <v>0</v>
      </c>
      <c r="BJ113" s="515">
        <f t="shared" si="41"/>
        <v>0</v>
      </c>
      <c r="BK113" s="515">
        <f t="shared" si="41"/>
        <v>0</v>
      </c>
      <c r="BL113" s="515">
        <f t="shared" si="41"/>
        <v>0</v>
      </c>
      <c r="BM113" s="515">
        <f t="shared" si="41"/>
        <v>0</v>
      </c>
      <c r="BN113" s="515">
        <f t="shared" si="41"/>
        <v>0</v>
      </c>
      <c r="BO113" s="515">
        <f t="shared" si="41"/>
        <v>0</v>
      </c>
      <c r="BP113" s="515">
        <f t="shared" si="41"/>
        <v>0</v>
      </c>
      <c r="BQ113" s="515">
        <f t="shared" si="41"/>
        <v>0</v>
      </c>
      <c r="BR113" s="515">
        <f t="shared" si="41"/>
        <v>0</v>
      </c>
      <c r="BS113" s="515">
        <f t="shared" si="41"/>
        <v>0</v>
      </c>
      <c r="BT113" s="515">
        <f t="shared" si="41"/>
        <v>0</v>
      </c>
      <c r="BU113" s="515">
        <f t="shared" si="41"/>
        <v>0</v>
      </c>
      <c r="BV113" s="515">
        <f t="shared" si="41"/>
        <v>0</v>
      </c>
      <c r="BW113" s="515">
        <f t="shared" si="41"/>
        <v>0</v>
      </c>
      <c r="BX113" s="515">
        <f t="shared" si="41"/>
        <v>0</v>
      </c>
      <c r="BY113" s="268"/>
      <c r="BZ113" s="268"/>
      <c r="CA113" s="268"/>
      <c r="CB113" s="268"/>
      <c r="CC113" s="268"/>
      <c r="CD113" s="268"/>
      <c r="CE113" s="268"/>
      <c r="CF113" s="268"/>
      <c r="CG113" s="268"/>
      <c r="CH113" s="268"/>
      <c r="CI113" s="268"/>
      <c r="CJ113" s="268"/>
      <c r="CK113" s="268"/>
      <c r="CL113" s="268"/>
      <c r="CM113" s="268"/>
      <c r="CN113" s="268"/>
      <c r="CO113" s="268"/>
      <c r="CP113" s="268"/>
      <c r="CQ113" s="268"/>
      <c r="CR113" s="268"/>
      <c r="CS113" s="268"/>
      <c r="CT113" s="268"/>
      <c r="CU113" s="268"/>
      <c r="CV113" s="268"/>
      <c r="CW113" s="268"/>
      <c r="CX113" s="268"/>
      <c r="CY113" s="268"/>
      <c r="CZ113" s="268"/>
      <c r="DA113" s="268"/>
      <c r="DB113" s="268"/>
      <c r="DC113" s="268"/>
      <c r="DD113" s="268"/>
      <c r="DE113" s="268"/>
      <c r="DF113" s="268"/>
      <c r="DG113" s="268"/>
      <c r="DH113" s="268"/>
      <c r="DI113" s="268"/>
      <c r="DJ113" s="268"/>
      <c r="DK113" s="268"/>
      <c r="DL113" s="268"/>
      <c r="DM113" s="268"/>
      <c r="DN113" s="268"/>
      <c r="DO113" s="268"/>
      <c r="DP113" s="268"/>
      <c r="DQ113" s="268"/>
      <c r="DR113" s="268"/>
      <c r="DS113" s="268"/>
      <c r="DT113" s="268"/>
      <c r="DU113" s="268"/>
      <c r="DV113" s="268"/>
      <c r="DW113" s="268"/>
      <c r="DX113" s="268"/>
      <c r="DY113" s="268"/>
      <c r="DZ113" s="268"/>
      <c r="EA113" s="268"/>
      <c r="EB113" s="268"/>
      <c r="EC113" s="268"/>
      <c r="ED113" s="268"/>
      <c r="EE113" s="268"/>
      <c r="EF113" s="268"/>
      <c r="EG113" s="268"/>
      <c r="EH113" s="268"/>
    </row>
    <row r="114" spans="1:138" hidden="1">
      <c r="A114" s="268"/>
      <c r="B114" s="342"/>
      <c r="C114" s="339" t="s">
        <v>334</v>
      </c>
      <c r="D114" s="520"/>
      <c r="E114" s="515"/>
      <c r="F114" s="515"/>
      <c r="G114" s="515"/>
      <c r="H114" s="515"/>
      <c r="I114" s="515"/>
      <c r="J114" s="515"/>
      <c r="K114" s="515"/>
      <c r="L114" s="515"/>
      <c r="M114" s="515"/>
      <c r="N114" s="515"/>
      <c r="O114" s="515"/>
      <c r="P114" s="515"/>
      <c r="Q114" s="515"/>
      <c r="R114" s="515"/>
      <c r="S114" s="515"/>
      <c r="T114" s="515"/>
      <c r="U114" s="515"/>
      <c r="V114" s="515"/>
      <c r="W114" s="515"/>
      <c r="X114" s="515"/>
      <c r="Y114" s="515"/>
      <c r="Z114" s="515"/>
      <c r="AA114" s="515"/>
      <c r="AB114" s="515"/>
      <c r="AC114" s="515"/>
      <c r="AD114" s="515"/>
      <c r="AE114" s="515"/>
      <c r="AF114" s="515"/>
      <c r="AG114" s="515"/>
      <c r="AH114" s="515"/>
      <c r="AI114" s="515"/>
      <c r="AJ114" s="515"/>
      <c r="AK114" s="515"/>
      <c r="AL114" s="515"/>
      <c r="AM114" s="515"/>
      <c r="AN114" s="515"/>
      <c r="AO114" s="515"/>
      <c r="AP114" s="515"/>
      <c r="AQ114" s="515"/>
      <c r="AR114" s="515"/>
      <c r="AS114" s="515"/>
      <c r="AT114" s="515"/>
      <c r="AU114" s="515"/>
      <c r="AV114" s="515"/>
      <c r="AW114" s="515"/>
      <c r="AX114" s="515"/>
      <c r="AY114" s="515"/>
      <c r="AZ114" s="515"/>
      <c r="BA114" s="515"/>
      <c r="BB114" s="515"/>
      <c r="BC114" s="515"/>
      <c r="BD114" s="515"/>
      <c r="BE114" s="515"/>
      <c r="BF114" s="515"/>
      <c r="BG114" s="515"/>
      <c r="BH114" s="515"/>
      <c r="BI114" s="515"/>
      <c r="BJ114" s="515"/>
      <c r="BK114" s="515"/>
      <c r="BL114" s="515"/>
      <c r="BM114" s="515"/>
      <c r="BN114" s="515"/>
      <c r="BO114" s="515"/>
      <c r="BP114" s="515"/>
      <c r="BQ114" s="515"/>
      <c r="BR114" s="515"/>
      <c r="BS114" s="515"/>
      <c r="BT114" s="515"/>
      <c r="BU114" s="515"/>
      <c r="BV114" s="515"/>
      <c r="BW114" s="515"/>
      <c r="BX114" s="515" t="e">
        <f>IF(D104&gt;0.25,(BX99-BX107)*D116,BX99*D116)</f>
        <v>#NUM!</v>
      </c>
      <c r="BY114" s="268"/>
      <c r="BZ114" s="268"/>
      <c r="CA114" s="268"/>
      <c r="CB114" s="268"/>
      <c r="CC114" s="268"/>
      <c r="CD114" s="268"/>
      <c r="CE114" s="268"/>
      <c r="CF114" s="268"/>
      <c r="CG114" s="268"/>
      <c r="CH114" s="268"/>
      <c r="CI114" s="268"/>
      <c r="CJ114" s="268"/>
      <c r="CK114" s="268"/>
      <c r="CL114" s="268"/>
      <c r="CM114" s="268"/>
      <c r="CN114" s="268"/>
      <c r="CO114" s="268"/>
      <c r="CP114" s="268"/>
      <c r="CQ114" s="268"/>
      <c r="CR114" s="268"/>
      <c r="CS114" s="268"/>
      <c r="CT114" s="268"/>
      <c r="CU114" s="268"/>
      <c r="CV114" s="268"/>
      <c r="CW114" s="268"/>
      <c r="CX114" s="268"/>
      <c r="CY114" s="268"/>
      <c r="CZ114" s="268"/>
      <c r="DA114" s="268"/>
      <c r="DB114" s="268"/>
      <c r="DC114" s="268"/>
      <c r="DD114" s="268"/>
      <c r="DE114" s="268"/>
      <c r="DF114" s="268"/>
      <c r="DG114" s="268"/>
      <c r="DH114" s="268"/>
      <c r="DI114" s="268"/>
      <c r="DJ114" s="268"/>
      <c r="DK114" s="268"/>
      <c r="DL114" s="268"/>
      <c r="DM114" s="268"/>
      <c r="DN114" s="268"/>
      <c r="DO114" s="268"/>
      <c r="DP114" s="268"/>
      <c r="DQ114" s="268"/>
      <c r="DR114" s="268"/>
      <c r="DS114" s="268"/>
      <c r="DT114" s="268"/>
      <c r="DU114" s="268"/>
      <c r="DV114" s="268"/>
      <c r="DW114" s="268"/>
      <c r="DX114" s="268"/>
      <c r="DY114" s="268"/>
      <c r="DZ114" s="268"/>
      <c r="EA114" s="268"/>
      <c r="EB114" s="268"/>
      <c r="EC114" s="268"/>
      <c r="ED114" s="268"/>
      <c r="EE114" s="268"/>
      <c r="EF114" s="268"/>
      <c r="EG114" s="268"/>
      <c r="EH114" s="268"/>
    </row>
    <row r="115" spans="1:138" hidden="1">
      <c r="A115" s="268"/>
      <c r="B115" s="342"/>
      <c r="C115" s="339" t="s">
        <v>330</v>
      </c>
      <c r="D115" s="520"/>
      <c r="E115" s="515"/>
      <c r="F115" s="515"/>
      <c r="G115" s="515"/>
      <c r="H115" s="515"/>
      <c r="I115" s="515"/>
      <c r="J115" s="515"/>
      <c r="K115" s="515"/>
      <c r="L115" s="515"/>
      <c r="M115" s="515"/>
      <c r="N115" s="515"/>
      <c r="O115" s="515"/>
      <c r="P115" s="515"/>
      <c r="Q115" s="515"/>
      <c r="R115" s="515"/>
      <c r="S115" s="515"/>
      <c r="T115" s="515"/>
      <c r="U115" s="515"/>
      <c r="V115" s="515"/>
      <c r="W115" s="515"/>
      <c r="X115" s="515"/>
      <c r="Y115" s="515"/>
      <c r="Z115" s="515"/>
      <c r="AA115" s="515"/>
      <c r="AB115" s="515"/>
      <c r="AC115" s="515"/>
      <c r="AD115" s="515"/>
      <c r="AE115" s="515"/>
      <c r="AF115" s="515"/>
      <c r="AG115" s="515"/>
      <c r="AH115" s="515"/>
      <c r="AI115" s="515"/>
      <c r="AJ115" s="515"/>
      <c r="AK115" s="515"/>
      <c r="AL115" s="515"/>
      <c r="AM115" s="515"/>
      <c r="AN115" s="515"/>
      <c r="AO115" s="515"/>
      <c r="AP115" s="515"/>
      <c r="AQ115" s="515"/>
      <c r="AR115" s="515"/>
      <c r="AS115" s="515"/>
      <c r="AT115" s="515"/>
      <c r="AU115" s="515"/>
      <c r="AV115" s="515"/>
      <c r="AW115" s="515"/>
      <c r="AX115" s="515"/>
      <c r="AY115" s="515"/>
      <c r="AZ115" s="515"/>
      <c r="BA115" s="515"/>
      <c r="BB115" s="515"/>
      <c r="BC115" s="515"/>
      <c r="BD115" s="515"/>
      <c r="BE115" s="515"/>
      <c r="BF115" s="515"/>
      <c r="BG115" s="515"/>
      <c r="BH115" s="515"/>
      <c r="BI115" s="515"/>
      <c r="BJ115" s="515"/>
      <c r="BK115" s="515"/>
      <c r="BL115" s="515"/>
      <c r="BM115" s="515"/>
      <c r="BN115" s="515"/>
      <c r="BO115" s="515"/>
      <c r="BP115" s="515"/>
      <c r="BQ115" s="515"/>
      <c r="BR115" s="515"/>
      <c r="BS115" s="515"/>
      <c r="BT115" s="515"/>
      <c r="BU115" s="515"/>
      <c r="BV115" s="515"/>
      <c r="BW115" s="515"/>
      <c r="BX115" s="515" t="e">
        <f>IF(D104&gt;0.25,BX107,0)</f>
        <v>#NUM!</v>
      </c>
      <c r="BY115" s="268"/>
      <c r="BZ115" s="268"/>
      <c r="CA115" s="268"/>
      <c r="CB115" s="268"/>
      <c r="CC115" s="268"/>
      <c r="CD115" s="268"/>
      <c r="CE115" s="268"/>
      <c r="CF115" s="268"/>
      <c r="CG115" s="268"/>
      <c r="CH115" s="268"/>
      <c r="CI115" s="268"/>
      <c r="CJ115" s="268"/>
      <c r="CK115" s="268"/>
      <c r="CL115" s="268"/>
      <c r="CM115" s="268"/>
      <c r="CN115" s="268"/>
      <c r="CO115" s="268"/>
      <c r="CP115" s="268"/>
      <c r="CQ115" s="268"/>
      <c r="CR115" s="268"/>
      <c r="CS115" s="268"/>
      <c r="CT115" s="268"/>
      <c r="CU115" s="268"/>
      <c r="CV115" s="268"/>
      <c r="CW115" s="268"/>
      <c r="CX115" s="268"/>
      <c r="CY115" s="268"/>
      <c r="CZ115" s="268"/>
      <c r="DA115" s="268"/>
      <c r="DB115" s="268"/>
      <c r="DC115" s="268"/>
      <c r="DD115" s="268"/>
      <c r="DE115" s="268"/>
      <c r="DF115" s="268"/>
      <c r="DG115" s="268"/>
      <c r="DH115" s="268"/>
      <c r="DI115" s="268"/>
      <c r="DJ115" s="268"/>
      <c r="DK115" s="268"/>
      <c r="DL115" s="268"/>
      <c r="DM115" s="268"/>
      <c r="DN115" s="268"/>
      <c r="DO115" s="268"/>
      <c r="DP115" s="268"/>
      <c r="DQ115" s="268"/>
      <c r="DR115" s="268"/>
      <c r="DS115" s="268"/>
      <c r="DT115" s="268"/>
      <c r="DU115" s="268"/>
      <c r="DV115" s="268"/>
      <c r="DW115" s="268"/>
      <c r="DX115" s="268"/>
      <c r="DY115" s="268"/>
      <c r="DZ115" s="268"/>
      <c r="EA115" s="268"/>
      <c r="EB115" s="268"/>
      <c r="EC115" s="268"/>
      <c r="ED115" s="268"/>
      <c r="EE115" s="268"/>
      <c r="EF115" s="268"/>
      <c r="EG115" s="268"/>
      <c r="EH115" s="268"/>
    </row>
    <row r="116" spans="1:138" hidden="1">
      <c r="A116" s="268"/>
      <c r="B116" s="342"/>
      <c r="C116" s="517" t="s">
        <v>335</v>
      </c>
      <c r="D116" s="520">
        <v>0</v>
      </c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87"/>
      <c r="AW116" s="287"/>
      <c r="AX116" s="287"/>
      <c r="AY116" s="287"/>
      <c r="AZ116" s="287"/>
      <c r="BA116" s="287"/>
      <c r="BB116" s="287"/>
      <c r="BC116" s="343"/>
      <c r="BD116" s="287"/>
      <c r="BE116" s="287"/>
      <c r="BF116" s="287"/>
      <c r="BG116" s="287"/>
      <c r="BH116" s="287"/>
      <c r="BI116" s="287"/>
      <c r="BJ116" s="287"/>
      <c r="BK116" s="287"/>
      <c r="BL116" s="287"/>
      <c r="BM116" s="287"/>
      <c r="BN116" s="287"/>
      <c r="BO116" s="287"/>
      <c r="BP116" s="287"/>
      <c r="BQ116" s="287"/>
      <c r="BR116" s="287"/>
      <c r="BS116" s="287"/>
      <c r="BT116" s="287"/>
      <c r="BU116" s="287"/>
      <c r="BV116" s="287"/>
      <c r="BW116" s="287"/>
      <c r="BX116" s="287"/>
      <c r="BY116" s="268"/>
      <c r="BZ116" s="268"/>
      <c r="CA116" s="268"/>
      <c r="CB116" s="268"/>
      <c r="CC116" s="268"/>
      <c r="CD116" s="268"/>
      <c r="CE116" s="268"/>
      <c r="CF116" s="268"/>
      <c r="CG116" s="268"/>
      <c r="CH116" s="268"/>
      <c r="CI116" s="268"/>
      <c r="CJ116" s="268"/>
      <c r="CK116" s="268"/>
      <c r="CL116" s="268"/>
      <c r="CM116" s="268"/>
      <c r="CN116" s="268"/>
      <c r="CO116" s="268"/>
      <c r="CP116" s="268"/>
      <c r="CQ116" s="268"/>
      <c r="CR116" s="268"/>
      <c r="CS116" s="268"/>
      <c r="CT116" s="268"/>
      <c r="CU116" s="268"/>
      <c r="CV116" s="268"/>
      <c r="CW116" s="268"/>
      <c r="CX116" s="268"/>
      <c r="CY116" s="268"/>
      <c r="CZ116" s="268"/>
      <c r="DA116" s="268"/>
      <c r="DB116" s="268"/>
      <c r="DC116" s="268"/>
      <c r="DD116" s="268"/>
      <c r="DE116" s="268"/>
      <c r="DF116" s="268"/>
      <c r="DG116" s="268"/>
      <c r="DH116" s="268"/>
      <c r="DI116" s="268"/>
      <c r="DJ116" s="268"/>
      <c r="DK116" s="268"/>
      <c r="DL116" s="268"/>
      <c r="DM116" s="268"/>
      <c r="DN116" s="268"/>
      <c r="DO116" s="268"/>
      <c r="DP116" s="268"/>
      <c r="DQ116" s="268"/>
      <c r="DR116" s="268"/>
      <c r="DS116" s="268"/>
      <c r="DT116" s="268"/>
      <c r="DU116" s="268"/>
      <c r="DV116" s="268"/>
      <c r="DW116" s="268"/>
      <c r="DX116" s="268"/>
      <c r="DY116" s="268"/>
      <c r="DZ116" s="268"/>
      <c r="EA116" s="268"/>
      <c r="EB116" s="268"/>
      <c r="EC116" s="268"/>
      <c r="ED116" s="268"/>
      <c r="EE116" s="268"/>
      <c r="EF116" s="268"/>
      <c r="EG116" s="268"/>
      <c r="EH116" s="268"/>
    </row>
    <row r="117" spans="1:138" hidden="1">
      <c r="A117" s="268"/>
      <c r="B117" s="342"/>
      <c r="C117" s="339" t="s">
        <v>336</v>
      </c>
      <c r="D117" s="340"/>
      <c r="E117" s="521">
        <f t="shared" ref="E117:BW117" si="42">E111+E112+E113+E114+E116</f>
        <v>0</v>
      </c>
      <c r="F117" s="521">
        <f t="shared" si="42"/>
        <v>0</v>
      </c>
      <c r="G117" s="521">
        <f t="shared" si="42"/>
        <v>0</v>
      </c>
      <c r="H117" s="521">
        <f t="shared" si="42"/>
        <v>0</v>
      </c>
      <c r="I117" s="521">
        <f t="shared" si="42"/>
        <v>0</v>
      </c>
      <c r="J117" s="521">
        <f t="shared" si="42"/>
        <v>0</v>
      </c>
      <c r="K117" s="521">
        <f t="shared" si="42"/>
        <v>0</v>
      </c>
      <c r="L117" s="521">
        <f t="shared" si="42"/>
        <v>0</v>
      </c>
      <c r="M117" s="521">
        <f t="shared" si="42"/>
        <v>0</v>
      </c>
      <c r="N117" s="521">
        <f t="shared" si="42"/>
        <v>0</v>
      </c>
      <c r="O117" s="521">
        <f t="shared" si="42"/>
        <v>0</v>
      </c>
      <c r="P117" s="521">
        <f t="shared" si="42"/>
        <v>0</v>
      </c>
      <c r="Q117" s="521">
        <f t="shared" si="42"/>
        <v>0</v>
      </c>
      <c r="R117" s="521">
        <f t="shared" si="42"/>
        <v>0</v>
      </c>
      <c r="S117" s="521">
        <f t="shared" si="42"/>
        <v>0</v>
      </c>
      <c r="T117" s="521">
        <f t="shared" si="42"/>
        <v>0</v>
      </c>
      <c r="U117" s="521">
        <f t="shared" si="42"/>
        <v>0</v>
      </c>
      <c r="V117" s="521">
        <f t="shared" si="42"/>
        <v>0</v>
      </c>
      <c r="W117" s="521">
        <f t="shared" si="42"/>
        <v>0</v>
      </c>
      <c r="X117" s="521">
        <f t="shared" si="42"/>
        <v>0</v>
      </c>
      <c r="Y117" s="521">
        <f t="shared" si="42"/>
        <v>0</v>
      </c>
      <c r="Z117" s="521">
        <f t="shared" si="42"/>
        <v>0</v>
      </c>
      <c r="AA117" s="521">
        <f t="shared" si="42"/>
        <v>0</v>
      </c>
      <c r="AB117" s="521">
        <f t="shared" si="42"/>
        <v>0</v>
      </c>
      <c r="AC117" s="521">
        <f t="shared" si="42"/>
        <v>0</v>
      </c>
      <c r="AD117" s="521">
        <f t="shared" si="42"/>
        <v>0</v>
      </c>
      <c r="AE117" s="521">
        <f t="shared" si="42"/>
        <v>0</v>
      </c>
      <c r="AF117" s="521">
        <f t="shared" si="42"/>
        <v>0</v>
      </c>
      <c r="AG117" s="521">
        <f t="shared" si="42"/>
        <v>0</v>
      </c>
      <c r="AH117" s="521">
        <f t="shared" si="42"/>
        <v>0</v>
      </c>
      <c r="AI117" s="521">
        <f t="shared" si="42"/>
        <v>0</v>
      </c>
      <c r="AJ117" s="521">
        <f t="shared" si="42"/>
        <v>0</v>
      </c>
      <c r="AK117" s="521">
        <f t="shared" si="42"/>
        <v>0</v>
      </c>
      <c r="AL117" s="521">
        <f t="shared" si="42"/>
        <v>0</v>
      </c>
      <c r="AM117" s="521">
        <f t="shared" si="42"/>
        <v>0</v>
      </c>
      <c r="AN117" s="521">
        <f t="shared" si="42"/>
        <v>0</v>
      </c>
      <c r="AO117" s="521">
        <f t="shared" si="42"/>
        <v>0</v>
      </c>
      <c r="AP117" s="521">
        <f t="shared" si="42"/>
        <v>0</v>
      </c>
      <c r="AQ117" s="521">
        <f t="shared" si="42"/>
        <v>0</v>
      </c>
      <c r="AR117" s="521">
        <f t="shared" si="42"/>
        <v>0</v>
      </c>
      <c r="AS117" s="521">
        <f t="shared" si="42"/>
        <v>0</v>
      </c>
      <c r="AT117" s="521">
        <f t="shared" si="42"/>
        <v>0</v>
      </c>
      <c r="AU117" s="521">
        <f t="shared" si="42"/>
        <v>0</v>
      </c>
      <c r="AV117" s="521">
        <f t="shared" si="42"/>
        <v>0</v>
      </c>
      <c r="AW117" s="521">
        <f t="shared" si="42"/>
        <v>0</v>
      </c>
      <c r="AX117" s="521">
        <f t="shared" si="42"/>
        <v>0</v>
      </c>
      <c r="AY117" s="521">
        <f t="shared" si="42"/>
        <v>0</v>
      </c>
      <c r="AZ117" s="521">
        <f t="shared" si="42"/>
        <v>0</v>
      </c>
      <c r="BA117" s="521">
        <f t="shared" si="42"/>
        <v>0</v>
      </c>
      <c r="BB117" s="521">
        <f t="shared" si="42"/>
        <v>0</v>
      </c>
      <c r="BC117" s="521">
        <f t="shared" si="42"/>
        <v>0</v>
      </c>
      <c r="BD117" s="521">
        <f t="shared" si="42"/>
        <v>0</v>
      </c>
      <c r="BE117" s="521">
        <f t="shared" si="42"/>
        <v>0</v>
      </c>
      <c r="BF117" s="521">
        <f t="shared" si="42"/>
        <v>0</v>
      </c>
      <c r="BG117" s="521">
        <f t="shared" si="42"/>
        <v>0</v>
      </c>
      <c r="BH117" s="521">
        <f t="shared" si="42"/>
        <v>0</v>
      </c>
      <c r="BI117" s="521">
        <f t="shared" si="42"/>
        <v>0</v>
      </c>
      <c r="BJ117" s="521">
        <f t="shared" si="42"/>
        <v>0</v>
      </c>
      <c r="BK117" s="521">
        <f t="shared" si="42"/>
        <v>0</v>
      </c>
      <c r="BL117" s="521">
        <f t="shared" si="42"/>
        <v>0</v>
      </c>
      <c r="BM117" s="521">
        <f t="shared" si="42"/>
        <v>0</v>
      </c>
      <c r="BN117" s="521">
        <f t="shared" si="42"/>
        <v>0</v>
      </c>
      <c r="BO117" s="521">
        <f t="shared" si="42"/>
        <v>0</v>
      </c>
      <c r="BP117" s="521">
        <f t="shared" si="42"/>
        <v>0</v>
      </c>
      <c r="BQ117" s="521">
        <f t="shared" si="42"/>
        <v>0</v>
      </c>
      <c r="BR117" s="521">
        <f t="shared" si="42"/>
        <v>0</v>
      </c>
      <c r="BS117" s="521">
        <f t="shared" si="42"/>
        <v>0</v>
      </c>
      <c r="BT117" s="521">
        <f t="shared" si="42"/>
        <v>0</v>
      </c>
      <c r="BU117" s="521">
        <f t="shared" si="42"/>
        <v>0</v>
      </c>
      <c r="BV117" s="521">
        <f t="shared" si="42"/>
        <v>0</v>
      </c>
      <c r="BW117" s="521">
        <f t="shared" si="42"/>
        <v>0</v>
      </c>
      <c r="BX117" s="521" t="e">
        <f>BX111+BX112+BX113+BX114+BX115+BX116</f>
        <v>#NUM!</v>
      </c>
      <c r="BY117" s="268"/>
      <c r="BZ117" s="268"/>
      <c r="CA117" s="268"/>
      <c r="CB117" s="268"/>
      <c r="CC117" s="268"/>
      <c r="CD117" s="268"/>
      <c r="CE117" s="268"/>
      <c r="CF117" s="268"/>
      <c r="CG117" s="268"/>
      <c r="CH117" s="268"/>
      <c r="CI117" s="268"/>
      <c r="CJ117" s="268"/>
      <c r="CK117" s="268"/>
      <c r="CL117" s="268"/>
      <c r="CM117" s="268"/>
      <c r="CN117" s="268"/>
      <c r="CO117" s="268"/>
      <c r="CP117" s="268"/>
      <c r="CQ117" s="268"/>
      <c r="CR117" s="268"/>
      <c r="CS117" s="268"/>
      <c r="CT117" s="268"/>
      <c r="CU117" s="268"/>
      <c r="CV117" s="268"/>
      <c r="CW117" s="268"/>
      <c r="CX117" s="268"/>
      <c r="CY117" s="268"/>
      <c r="CZ117" s="268"/>
      <c r="DA117" s="268"/>
      <c r="DB117" s="268"/>
      <c r="DC117" s="268"/>
      <c r="DD117" s="268"/>
      <c r="DE117" s="268"/>
      <c r="DF117" s="268"/>
      <c r="DG117" s="268"/>
      <c r="DH117" s="268"/>
      <c r="DI117" s="268"/>
      <c r="DJ117" s="268"/>
      <c r="DK117" s="268"/>
      <c r="DL117" s="268"/>
      <c r="DM117" s="268"/>
      <c r="DN117" s="268"/>
      <c r="DO117" s="268"/>
      <c r="DP117" s="268"/>
      <c r="DQ117" s="268"/>
      <c r="DR117" s="268"/>
      <c r="DS117" s="268"/>
      <c r="DT117" s="268"/>
      <c r="DU117" s="268"/>
      <c r="DV117" s="268"/>
      <c r="DW117" s="268"/>
      <c r="DX117" s="268"/>
      <c r="DY117" s="268"/>
      <c r="DZ117" s="268"/>
      <c r="EA117" s="268"/>
      <c r="EB117" s="268"/>
      <c r="EC117" s="268"/>
      <c r="ED117" s="268"/>
      <c r="EE117" s="268"/>
      <c r="EF117" s="268"/>
      <c r="EG117" s="268"/>
      <c r="EH117" s="268"/>
    </row>
    <row r="118" spans="1:138" hidden="1">
      <c r="A118" s="268"/>
      <c r="B118" s="342"/>
      <c r="C118" s="517" t="s">
        <v>329</v>
      </c>
      <c r="D118" s="522" t="e">
        <f>IRR(E117:BX117)*12</f>
        <v>#VALUE!</v>
      </c>
      <c r="E118" s="268"/>
      <c r="F118" s="268"/>
      <c r="G118" s="268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  <c r="V118" s="268"/>
      <c r="W118" s="268"/>
      <c r="X118" s="268"/>
      <c r="Y118" s="268"/>
      <c r="Z118" s="268"/>
      <c r="AA118" s="268"/>
      <c r="AB118" s="268"/>
      <c r="AC118" s="268"/>
      <c r="AD118" s="268"/>
      <c r="AE118" s="268"/>
      <c r="AF118" s="268"/>
      <c r="AG118" s="268"/>
      <c r="AH118" s="268"/>
      <c r="AI118" s="268"/>
      <c r="AJ118" s="268"/>
      <c r="AK118" s="268"/>
      <c r="AL118" s="268"/>
      <c r="AM118" s="268"/>
      <c r="AN118" s="268"/>
      <c r="AO118" s="268"/>
      <c r="AP118" s="268"/>
      <c r="AQ118" s="268"/>
      <c r="AR118" s="268"/>
      <c r="AS118" s="268"/>
      <c r="AT118" s="268"/>
      <c r="AU118" s="268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8"/>
      <c r="BF118" s="268"/>
      <c r="BG118" s="268"/>
      <c r="BH118" s="268"/>
      <c r="BI118" s="268"/>
      <c r="BJ118" s="268"/>
      <c r="BK118" s="268"/>
      <c r="BL118" s="268"/>
      <c r="BM118" s="268"/>
      <c r="BN118" s="268"/>
      <c r="BO118" s="268"/>
      <c r="BP118" s="268"/>
      <c r="BQ118" s="268"/>
      <c r="BR118" s="268"/>
      <c r="BS118" s="268"/>
      <c r="BT118" s="268"/>
      <c r="BU118" s="268"/>
      <c r="BV118" s="268"/>
      <c r="BW118" s="268"/>
      <c r="BX118" s="268"/>
      <c r="BY118" s="268"/>
      <c r="BZ118" s="268"/>
      <c r="CA118" s="268"/>
      <c r="CB118" s="268"/>
      <c r="CC118" s="268"/>
      <c r="CD118" s="268"/>
      <c r="CE118" s="268"/>
      <c r="CF118" s="268"/>
      <c r="CG118" s="268"/>
      <c r="CH118" s="268"/>
      <c r="CI118" s="268"/>
      <c r="CJ118" s="268"/>
      <c r="CK118" s="268"/>
      <c r="CL118" s="268"/>
      <c r="CM118" s="268"/>
      <c r="CN118" s="268"/>
      <c r="CO118" s="268"/>
      <c r="CP118" s="268"/>
      <c r="CQ118" s="268"/>
      <c r="CR118" s="268"/>
      <c r="CS118" s="268"/>
      <c r="CT118" s="268"/>
      <c r="CU118" s="268"/>
      <c r="CV118" s="268"/>
      <c r="CW118" s="268"/>
      <c r="CX118" s="268"/>
      <c r="CY118" s="268"/>
      <c r="CZ118" s="268"/>
      <c r="DA118" s="268"/>
      <c r="DB118" s="268"/>
      <c r="DC118" s="268"/>
      <c r="DD118" s="268"/>
      <c r="DE118" s="268"/>
      <c r="DF118" s="268"/>
      <c r="DG118" s="268"/>
      <c r="DH118" s="268"/>
      <c r="DI118" s="268"/>
      <c r="DJ118" s="268"/>
      <c r="DK118" s="268"/>
      <c r="DL118" s="268"/>
      <c r="DM118" s="268"/>
      <c r="DN118" s="268"/>
      <c r="DO118" s="268"/>
      <c r="DP118" s="268"/>
      <c r="DQ118" s="268"/>
      <c r="DR118" s="268"/>
      <c r="DS118" s="268"/>
      <c r="DT118" s="268"/>
      <c r="DU118" s="268"/>
      <c r="DV118" s="268"/>
      <c r="DW118" s="268"/>
      <c r="DX118" s="268"/>
      <c r="DY118" s="268"/>
      <c r="DZ118" s="268"/>
      <c r="EA118" s="268"/>
      <c r="EB118" s="268"/>
      <c r="EC118" s="268"/>
      <c r="ED118" s="268"/>
      <c r="EE118" s="268"/>
      <c r="EF118" s="268"/>
      <c r="EG118" s="268"/>
      <c r="EH118" s="268"/>
    </row>
    <row r="119" spans="1:138" hidden="1">
      <c r="A119" s="268"/>
      <c r="B119" s="342"/>
      <c r="C119" s="523" t="s">
        <v>337</v>
      </c>
      <c r="D119" s="524">
        <f>-MIN(E111:BL111)</f>
        <v>0</v>
      </c>
      <c r="E119" s="268"/>
      <c r="F119" s="268"/>
      <c r="G119" s="268"/>
      <c r="H119" s="268"/>
      <c r="I119" s="268"/>
      <c r="J119" s="268"/>
      <c r="K119" s="268"/>
      <c r="L119" s="268"/>
      <c r="M119" s="268"/>
      <c r="N119" s="268"/>
      <c r="O119" s="268"/>
      <c r="P119" s="268"/>
      <c r="Q119" s="268"/>
      <c r="R119" s="268"/>
      <c r="S119" s="268"/>
      <c r="T119" s="268"/>
      <c r="U119" s="268"/>
      <c r="V119" s="268"/>
      <c r="W119" s="268"/>
      <c r="X119" s="268"/>
      <c r="Y119" s="268"/>
      <c r="Z119" s="268"/>
      <c r="AA119" s="268"/>
      <c r="AB119" s="268"/>
      <c r="AC119" s="268"/>
      <c r="AD119" s="268"/>
      <c r="AE119" s="268"/>
      <c r="AF119" s="268"/>
      <c r="AG119" s="268"/>
      <c r="AH119" s="268"/>
      <c r="AI119" s="268"/>
      <c r="AJ119" s="268"/>
      <c r="AK119" s="268"/>
      <c r="AL119" s="268"/>
      <c r="AM119" s="268"/>
      <c r="AN119" s="268"/>
      <c r="AO119" s="268"/>
      <c r="AP119" s="268"/>
      <c r="AQ119" s="268"/>
      <c r="AR119" s="268"/>
      <c r="AS119" s="268"/>
      <c r="AT119" s="268"/>
      <c r="AU119" s="268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8"/>
      <c r="BF119" s="268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8"/>
      <c r="BQ119" s="268"/>
      <c r="BR119" s="268"/>
      <c r="BS119" s="268"/>
      <c r="BT119" s="268"/>
      <c r="BU119" s="268"/>
      <c r="BV119" s="268"/>
      <c r="BW119" s="268"/>
      <c r="BX119" s="268"/>
      <c r="BY119" s="268"/>
      <c r="BZ119" s="268"/>
      <c r="CA119" s="268"/>
      <c r="CB119" s="268"/>
      <c r="CC119" s="268"/>
      <c r="CD119" s="268"/>
      <c r="CE119" s="268"/>
      <c r="CF119" s="268"/>
      <c r="CG119" s="268"/>
      <c r="CH119" s="268"/>
      <c r="CI119" s="268"/>
      <c r="CJ119" s="268"/>
      <c r="CK119" s="268"/>
      <c r="CL119" s="268"/>
      <c r="CM119" s="268"/>
      <c r="CN119" s="268"/>
      <c r="CO119" s="268"/>
      <c r="CP119" s="268"/>
      <c r="CQ119" s="268"/>
      <c r="CR119" s="268"/>
      <c r="CS119" s="268"/>
      <c r="CT119" s="268"/>
      <c r="CU119" s="268"/>
      <c r="CV119" s="268"/>
      <c r="CW119" s="268"/>
      <c r="CX119" s="268"/>
      <c r="CY119" s="268"/>
      <c r="CZ119" s="268"/>
      <c r="DA119" s="268"/>
      <c r="DB119" s="268"/>
      <c r="DC119" s="268"/>
      <c r="DD119" s="268"/>
      <c r="DE119" s="268"/>
      <c r="DF119" s="268"/>
      <c r="DG119" s="268"/>
      <c r="DH119" s="268"/>
      <c r="DI119" s="268"/>
      <c r="DJ119" s="268"/>
      <c r="DK119" s="268"/>
      <c r="DL119" s="268"/>
      <c r="DM119" s="268"/>
      <c r="DN119" s="268"/>
      <c r="DO119" s="268"/>
      <c r="DP119" s="268"/>
      <c r="DQ119" s="268"/>
      <c r="DR119" s="268"/>
      <c r="DS119" s="268"/>
      <c r="DT119" s="268"/>
      <c r="DU119" s="268"/>
      <c r="DV119" s="268"/>
      <c r="DW119" s="268"/>
      <c r="DX119" s="268"/>
      <c r="DY119" s="268"/>
      <c r="DZ119" s="268"/>
      <c r="EA119" s="268"/>
      <c r="EB119" s="268"/>
      <c r="EC119" s="268"/>
      <c r="ED119" s="268"/>
      <c r="EE119" s="268"/>
      <c r="EF119" s="268"/>
      <c r="EG119" s="268"/>
      <c r="EH119" s="268"/>
    </row>
    <row r="120" spans="1:138" hidden="1">
      <c r="A120" s="268"/>
      <c r="B120" s="342"/>
      <c r="C120" s="517" t="s">
        <v>338</v>
      </c>
      <c r="D120" s="525">
        <f>D119</f>
        <v>0</v>
      </c>
      <c r="E120" s="268"/>
      <c r="F120" s="268"/>
      <c r="G120" s="268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  <c r="X120" s="268"/>
      <c r="Y120" s="268"/>
      <c r="Z120" s="268"/>
      <c r="AA120" s="268"/>
      <c r="AB120" s="268"/>
      <c r="AC120" s="268"/>
      <c r="AD120" s="268"/>
      <c r="AE120" s="268"/>
      <c r="AF120" s="268"/>
      <c r="AG120" s="268"/>
      <c r="AH120" s="268"/>
      <c r="AI120" s="268"/>
      <c r="AJ120" s="268"/>
      <c r="AK120" s="268"/>
      <c r="AL120" s="268"/>
      <c r="AM120" s="268"/>
      <c r="AN120" s="268"/>
      <c r="AO120" s="268"/>
      <c r="AP120" s="268"/>
      <c r="AQ120" s="268"/>
      <c r="AR120" s="268"/>
      <c r="AS120" s="268"/>
      <c r="AT120" s="268"/>
      <c r="AU120" s="268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8"/>
      <c r="BF120" s="268"/>
      <c r="BG120" s="268"/>
      <c r="BH120" s="268"/>
      <c r="BI120" s="268"/>
      <c r="BJ120" s="268"/>
      <c r="BK120" s="268"/>
      <c r="BL120" s="268"/>
      <c r="BM120" s="268"/>
      <c r="BN120" s="268"/>
      <c r="BO120" s="268"/>
      <c r="BP120" s="268"/>
      <c r="BQ120" s="268"/>
      <c r="BR120" s="268"/>
      <c r="BS120" s="268"/>
      <c r="BT120" s="268"/>
      <c r="BU120" s="268"/>
      <c r="BV120" s="268"/>
      <c r="BW120" s="268"/>
      <c r="BX120" s="268"/>
      <c r="BY120" s="268"/>
      <c r="BZ120" s="268"/>
      <c r="CA120" s="268"/>
      <c r="CB120" s="268"/>
      <c r="CC120" s="268"/>
      <c r="CD120" s="268"/>
      <c r="CE120" s="268"/>
      <c r="CF120" s="268"/>
      <c r="CG120" s="268"/>
      <c r="CH120" s="268"/>
      <c r="CI120" s="268"/>
      <c r="CJ120" s="268"/>
      <c r="CK120" s="268"/>
      <c r="CL120" s="268"/>
      <c r="CM120" s="268"/>
      <c r="CN120" s="268"/>
      <c r="CO120" s="268"/>
      <c r="CP120" s="268"/>
      <c r="CQ120" s="268"/>
      <c r="CR120" s="268"/>
      <c r="CS120" s="268"/>
      <c r="CT120" s="268"/>
      <c r="CU120" s="268"/>
      <c r="CV120" s="268"/>
      <c r="CW120" s="268"/>
      <c r="CX120" s="268"/>
      <c r="CY120" s="268"/>
      <c r="CZ120" s="268"/>
      <c r="DA120" s="268"/>
      <c r="DB120" s="268"/>
      <c r="DC120" s="268"/>
      <c r="DD120" s="268"/>
      <c r="DE120" s="268"/>
      <c r="DF120" s="268"/>
      <c r="DG120" s="268"/>
      <c r="DH120" s="268"/>
      <c r="DI120" s="268"/>
      <c r="DJ120" s="268"/>
      <c r="DK120" s="268"/>
      <c r="DL120" s="268"/>
      <c r="DM120" s="268"/>
      <c r="DN120" s="268"/>
      <c r="DO120" s="268"/>
      <c r="DP120" s="268"/>
      <c r="DQ120" s="268"/>
      <c r="DR120" s="268"/>
      <c r="DS120" s="268"/>
      <c r="DT120" s="268"/>
      <c r="DU120" s="268"/>
      <c r="DV120" s="268"/>
      <c r="DW120" s="344"/>
      <c r="DX120" s="344"/>
      <c r="DY120" s="344"/>
      <c r="DZ120" s="344"/>
      <c r="EA120" s="344"/>
      <c r="EB120" s="344"/>
      <c r="EC120" s="344"/>
      <c r="ED120" s="344"/>
      <c r="EE120" s="344"/>
      <c r="EF120" s="344"/>
      <c r="EG120" s="344"/>
      <c r="EH120" s="344"/>
    </row>
    <row r="121" spans="1:138" hidden="1">
      <c r="A121" s="268"/>
      <c r="B121" s="342"/>
      <c r="C121" s="517" t="s">
        <v>339</v>
      </c>
      <c r="D121" s="525" t="e">
        <f>BX113+BX114+BX115</f>
        <v>#NUM!</v>
      </c>
      <c r="E121" s="268"/>
      <c r="F121" s="268"/>
      <c r="G121" s="268"/>
      <c r="H121" s="268"/>
      <c r="I121" s="268"/>
      <c r="J121" s="268"/>
      <c r="K121" s="268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8"/>
      <c r="AA121" s="268"/>
      <c r="AB121" s="268"/>
      <c r="AC121" s="268"/>
      <c r="AD121" s="268"/>
      <c r="AE121" s="268"/>
      <c r="AF121" s="268"/>
      <c r="AG121" s="268"/>
      <c r="AH121" s="268"/>
      <c r="AI121" s="268"/>
      <c r="AJ121" s="268"/>
      <c r="AK121" s="268"/>
      <c r="AL121" s="268"/>
      <c r="AM121" s="268"/>
      <c r="AN121" s="268"/>
      <c r="AO121" s="268"/>
      <c r="AP121" s="268"/>
      <c r="AQ121" s="268"/>
      <c r="AR121" s="268"/>
      <c r="AS121" s="268"/>
      <c r="AT121" s="268"/>
      <c r="AU121" s="268"/>
      <c r="AV121" s="268"/>
      <c r="AW121" s="268"/>
      <c r="AX121" s="268"/>
      <c r="AY121" s="268"/>
      <c r="AZ121" s="268"/>
      <c r="BA121" s="268"/>
      <c r="BB121" s="268"/>
      <c r="BC121" s="268"/>
      <c r="BD121" s="268"/>
      <c r="BE121" s="268"/>
      <c r="BF121" s="268"/>
      <c r="BG121" s="268"/>
      <c r="BH121" s="268"/>
      <c r="BI121" s="268"/>
      <c r="BJ121" s="268"/>
      <c r="BK121" s="268"/>
      <c r="BL121" s="268"/>
      <c r="BM121" s="268"/>
      <c r="BN121" s="268"/>
      <c r="BO121" s="268"/>
      <c r="BP121" s="268"/>
      <c r="BQ121" s="268"/>
      <c r="BR121" s="268"/>
      <c r="BS121" s="268"/>
      <c r="BT121" s="268"/>
      <c r="BU121" s="268"/>
      <c r="BV121" s="268"/>
      <c r="BW121" s="268"/>
      <c r="BX121" s="268"/>
      <c r="BY121" s="268"/>
      <c r="BZ121" s="268"/>
      <c r="CA121" s="268"/>
      <c r="CB121" s="268"/>
      <c r="CC121" s="268"/>
      <c r="CD121" s="268"/>
      <c r="CE121" s="268"/>
      <c r="CF121" s="268"/>
      <c r="CG121" s="268"/>
      <c r="CH121" s="268"/>
      <c r="CI121" s="268"/>
      <c r="CJ121" s="268"/>
      <c r="CK121" s="268"/>
      <c r="CL121" s="268"/>
      <c r="CM121" s="268"/>
      <c r="CN121" s="268"/>
      <c r="CO121" s="268"/>
      <c r="CP121" s="268"/>
      <c r="CQ121" s="268"/>
      <c r="CR121" s="268"/>
      <c r="CS121" s="268"/>
      <c r="CT121" s="268"/>
      <c r="CU121" s="268"/>
      <c r="CV121" s="268"/>
      <c r="CW121" s="268"/>
      <c r="CX121" s="268"/>
      <c r="CY121" s="268"/>
      <c r="CZ121" s="268"/>
      <c r="DA121" s="268"/>
      <c r="DB121" s="268"/>
      <c r="DC121" s="268"/>
      <c r="DD121" s="268"/>
      <c r="DE121" s="268"/>
      <c r="DF121" s="268"/>
      <c r="DG121" s="268"/>
      <c r="DH121" s="268"/>
      <c r="DI121" s="268"/>
      <c r="DJ121" s="268"/>
      <c r="DK121" s="268"/>
      <c r="DL121" s="268"/>
      <c r="DM121" s="268"/>
      <c r="DN121" s="268"/>
      <c r="DO121" s="268"/>
      <c r="DP121" s="268"/>
      <c r="DQ121" s="268"/>
      <c r="DR121" s="268"/>
      <c r="DS121" s="268"/>
      <c r="DT121" s="268"/>
      <c r="DU121" s="268"/>
      <c r="DV121" s="268"/>
      <c r="DW121" s="344"/>
      <c r="DX121" s="344"/>
      <c r="DY121" s="344"/>
      <c r="DZ121" s="344"/>
      <c r="EA121" s="344"/>
      <c r="EB121" s="344"/>
      <c r="EC121" s="344"/>
      <c r="ED121" s="344"/>
      <c r="EE121" s="344"/>
      <c r="EF121" s="344"/>
      <c r="EG121" s="344"/>
      <c r="EH121" s="344"/>
    </row>
    <row r="122" spans="1:138" hidden="1">
      <c r="A122" s="268"/>
      <c r="B122" s="342"/>
      <c r="C122" s="517" t="s">
        <v>340</v>
      </c>
      <c r="D122" s="522" t="e">
        <f>D121/D120</f>
        <v>#NUM!</v>
      </c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8"/>
      <c r="S122" s="268"/>
      <c r="T122" s="268"/>
      <c r="U122" s="268"/>
      <c r="V122" s="268"/>
      <c r="W122" s="268"/>
      <c r="X122" s="268"/>
      <c r="Y122" s="268"/>
      <c r="Z122" s="268"/>
      <c r="AA122" s="268"/>
      <c r="AB122" s="268"/>
      <c r="AC122" s="268"/>
      <c r="AD122" s="268"/>
      <c r="AE122" s="268"/>
      <c r="AF122" s="268"/>
      <c r="AG122" s="268"/>
      <c r="AH122" s="268"/>
      <c r="AI122" s="268"/>
      <c r="AJ122" s="268"/>
      <c r="AK122" s="268"/>
      <c r="AL122" s="268"/>
      <c r="AM122" s="268"/>
      <c r="AN122" s="268"/>
      <c r="AO122" s="268"/>
      <c r="AP122" s="268"/>
      <c r="AQ122" s="268"/>
      <c r="AR122" s="268"/>
      <c r="AS122" s="268"/>
      <c r="AT122" s="268"/>
      <c r="AU122" s="268"/>
      <c r="AV122" s="268"/>
      <c r="AW122" s="268"/>
      <c r="AX122" s="268"/>
      <c r="AY122" s="268"/>
      <c r="AZ122" s="268"/>
      <c r="BA122" s="268"/>
      <c r="BB122" s="268"/>
      <c r="BC122" s="268"/>
      <c r="BD122" s="268"/>
      <c r="BE122" s="268"/>
      <c r="BF122" s="268"/>
      <c r="BG122" s="268"/>
      <c r="BH122" s="268"/>
      <c r="BI122" s="268"/>
      <c r="BJ122" s="268"/>
      <c r="BK122" s="268"/>
      <c r="BL122" s="268"/>
      <c r="BM122" s="268"/>
      <c r="BN122" s="268"/>
      <c r="BO122" s="268"/>
      <c r="BP122" s="268"/>
      <c r="BQ122" s="268"/>
      <c r="BR122" s="268"/>
      <c r="BS122" s="268"/>
      <c r="BT122" s="268"/>
      <c r="BU122" s="268"/>
      <c r="BV122" s="268"/>
      <c r="BW122" s="268"/>
      <c r="BX122" s="268"/>
      <c r="BY122" s="268"/>
      <c r="BZ122" s="268"/>
      <c r="CA122" s="268"/>
      <c r="CB122" s="268"/>
      <c r="CC122" s="268"/>
      <c r="CD122" s="268"/>
      <c r="CE122" s="268"/>
      <c r="CF122" s="268"/>
      <c r="CG122" s="268"/>
      <c r="CH122" s="268"/>
      <c r="CI122" s="268"/>
      <c r="CJ122" s="268"/>
      <c r="CK122" s="268"/>
      <c r="CL122" s="268"/>
      <c r="CM122" s="268"/>
      <c r="CN122" s="268"/>
      <c r="CO122" s="268"/>
      <c r="CP122" s="268"/>
      <c r="CQ122" s="268"/>
      <c r="CR122" s="268"/>
      <c r="CS122" s="268"/>
      <c r="CT122" s="268"/>
      <c r="CU122" s="268"/>
      <c r="CV122" s="268"/>
      <c r="CW122" s="268"/>
      <c r="CX122" s="268"/>
      <c r="CY122" s="268"/>
      <c r="CZ122" s="268"/>
      <c r="DA122" s="268"/>
      <c r="DB122" s="268"/>
      <c r="DC122" s="268"/>
      <c r="DD122" s="268"/>
      <c r="DE122" s="268"/>
      <c r="DF122" s="268"/>
      <c r="DG122" s="268"/>
      <c r="DH122" s="268"/>
      <c r="DI122" s="268"/>
      <c r="DJ122" s="268"/>
      <c r="DK122" s="268"/>
      <c r="DL122" s="268"/>
      <c r="DM122" s="268"/>
      <c r="DN122" s="268"/>
      <c r="DO122" s="268"/>
      <c r="DP122" s="268"/>
      <c r="DQ122" s="268"/>
      <c r="DR122" s="268"/>
      <c r="DS122" s="268"/>
      <c r="DT122" s="268"/>
      <c r="DU122" s="268"/>
      <c r="DV122" s="268"/>
      <c r="DW122" s="344"/>
      <c r="DX122" s="344"/>
      <c r="DY122" s="344"/>
      <c r="DZ122" s="344"/>
      <c r="EA122" s="344"/>
      <c r="EB122" s="344"/>
      <c r="EC122" s="344"/>
      <c r="ED122" s="344"/>
      <c r="EE122" s="344"/>
      <c r="EF122" s="344"/>
      <c r="EG122" s="344"/>
      <c r="EH122" s="344"/>
    </row>
    <row r="123" spans="1:138" hidden="1">
      <c r="A123" s="268"/>
      <c r="B123" s="342"/>
      <c r="E123" s="268"/>
      <c r="F123" s="268"/>
      <c r="G123" s="268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8"/>
      <c r="S123" s="268"/>
      <c r="T123" s="268"/>
      <c r="U123" s="268"/>
      <c r="V123" s="268"/>
      <c r="W123" s="268"/>
      <c r="X123" s="268"/>
      <c r="Y123" s="268"/>
      <c r="Z123" s="268"/>
      <c r="AA123" s="268"/>
      <c r="AB123" s="268"/>
      <c r="AC123" s="268"/>
      <c r="AD123" s="268"/>
      <c r="AE123" s="268"/>
      <c r="AF123" s="268"/>
      <c r="AG123" s="268"/>
      <c r="AH123" s="268"/>
      <c r="AI123" s="268"/>
      <c r="AJ123" s="268"/>
      <c r="AK123" s="268"/>
      <c r="AL123" s="268"/>
      <c r="AM123" s="268"/>
      <c r="AN123" s="268"/>
      <c r="AO123" s="268"/>
      <c r="AP123" s="268"/>
      <c r="AQ123" s="268"/>
      <c r="AR123" s="268"/>
      <c r="AS123" s="268"/>
      <c r="AT123" s="268"/>
      <c r="AU123" s="268"/>
      <c r="AV123" s="268"/>
      <c r="AW123" s="268"/>
      <c r="AX123" s="268"/>
      <c r="AY123" s="268"/>
      <c r="AZ123" s="268"/>
      <c r="BA123" s="268"/>
      <c r="BB123" s="268"/>
      <c r="BC123" s="268"/>
      <c r="BD123" s="268"/>
      <c r="BE123" s="268"/>
      <c r="BF123" s="268"/>
      <c r="BG123" s="268"/>
      <c r="BH123" s="268"/>
      <c r="BI123" s="268"/>
      <c r="BJ123" s="268"/>
      <c r="BK123" s="268"/>
      <c r="BL123" s="268"/>
      <c r="BM123" s="268"/>
      <c r="BN123" s="268"/>
      <c r="BO123" s="268"/>
      <c r="BP123" s="268"/>
      <c r="BQ123" s="268"/>
      <c r="BR123" s="268"/>
      <c r="BS123" s="268"/>
      <c r="BT123" s="268"/>
      <c r="BU123" s="268"/>
      <c r="BV123" s="268"/>
      <c r="BW123" s="268"/>
      <c r="BX123" s="268"/>
      <c r="BY123" s="268"/>
      <c r="BZ123" s="268"/>
      <c r="CA123" s="268"/>
      <c r="CB123" s="268"/>
      <c r="CC123" s="268"/>
      <c r="CD123" s="268"/>
      <c r="CE123" s="268"/>
      <c r="CF123" s="268"/>
      <c r="CG123" s="268"/>
      <c r="CH123" s="268"/>
      <c r="CI123" s="268"/>
      <c r="CJ123" s="268"/>
      <c r="CK123" s="268"/>
      <c r="CL123" s="268"/>
      <c r="CM123" s="268"/>
      <c r="CN123" s="268"/>
      <c r="CO123" s="268"/>
      <c r="CP123" s="268"/>
      <c r="CQ123" s="268"/>
      <c r="CR123" s="268"/>
      <c r="CS123" s="268"/>
      <c r="CT123" s="268"/>
      <c r="CU123" s="268"/>
      <c r="CV123" s="268"/>
      <c r="CW123" s="268"/>
      <c r="CX123" s="268"/>
      <c r="CY123" s="268"/>
      <c r="CZ123" s="268"/>
      <c r="DA123" s="268"/>
      <c r="DB123" s="268"/>
      <c r="DC123" s="268"/>
      <c r="DD123" s="268"/>
      <c r="DE123" s="268"/>
      <c r="DF123" s="268"/>
      <c r="DG123" s="268"/>
      <c r="DH123" s="268"/>
      <c r="DI123" s="268"/>
      <c r="DJ123" s="268"/>
      <c r="DK123" s="268"/>
      <c r="DL123" s="268"/>
      <c r="DM123" s="268"/>
      <c r="DN123" s="268"/>
      <c r="DO123" s="268"/>
      <c r="DP123" s="268"/>
      <c r="DQ123" s="268"/>
      <c r="DR123" s="268"/>
      <c r="DS123" s="268"/>
      <c r="DT123" s="268"/>
      <c r="DU123" s="268"/>
      <c r="DV123" s="268"/>
      <c r="DW123" s="344"/>
      <c r="DX123" s="344"/>
      <c r="DY123" s="344"/>
      <c r="DZ123" s="344"/>
      <c r="EA123" s="344"/>
      <c r="EB123" s="344"/>
      <c r="EC123" s="344"/>
      <c r="ED123" s="344"/>
      <c r="EE123" s="344"/>
      <c r="EF123" s="344"/>
      <c r="EG123" s="344"/>
      <c r="EH123" s="344"/>
    </row>
    <row r="124" spans="1:138" hidden="1">
      <c r="A124" s="268"/>
      <c r="B124" s="342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8"/>
      <c r="X124" s="268"/>
      <c r="Y124" s="268"/>
      <c r="Z124" s="268"/>
      <c r="AA124" s="268"/>
      <c r="AB124" s="268"/>
      <c r="AC124" s="268"/>
      <c r="AD124" s="268"/>
      <c r="AE124" s="268"/>
      <c r="AF124" s="268"/>
      <c r="AG124" s="268"/>
      <c r="AH124" s="268"/>
      <c r="AI124" s="268"/>
      <c r="AJ124" s="268"/>
      <c r="AK124" s="268"/>
      <c r="AL124" s="268"/>
      <c r="AM124" s="268"/>
      <c r="AN124" s="268"/>
      <c r="AO124" s="268"/>
      <c r="AP124" s="268"/>
      <c r="AQ124" s="268"/>
      <c r="AR124" s="268"/>
      <c r="AS124" s="268"/>
      <c r="AT124" s="268"/>
      <c r="AU124" s="268"/>
      <c r="AV124" s="268"/>
      <c r="AW124" s="268"/>
      <c r="AX124" s="268"/>
      <c r="AY124" s="268"/>
      <c r="AZ124" s="268"/>
      <c r="BA124" s="268"/>
      <c r="BB124" s="268"/>
      <c r="BC124" s="268"/>
      <c r="BD124" s="268"/>
      <c r="BE124" s="268"/>
      <c r="BF124" s="268"/>
      <c r="BG124" s="268"/>
      <c r="BH124" s="268"/>
      <c r="BI124" s="268"/>
      <c r="BJ124" s="268"/>
      <c r="BK124" s="268"/>
      <c r="BL124" s="268"/>
      <c r="BM124" s="268"/>
      <c r="BN124" s="268"/>
      <c r="BO124" s="268"/>
      <c r="BP124" s="268"/>
      <c r="BQ124" s="268"/>
      <c r="BR124" s="268"/>
      <c r="BS124" s="268"/>
      <c r="BT124" s="268"/>
      <c r="BU124" s="268"/>
      <c r="BV124" s="268"/>
      <c r="BW124" s="268"/>
      <c r="BX124" s="268"/>
      <c r="BY124" s="268"/>
      <c r="BZ124" s="268"/>
      <c r="CA124" s="268"/>
      <c r="CB124" s="268"/>
      <c r="CC124" s="268"/>
      <c r="CD124" s="268"/>
      <c r="CE124" s="268"/>
      <c r="CF124" s="268"/>
      <c r="CG124" s="268"/>
      <c r="CH124" s="268"/>
      <c r="CI124" s="268"/>
      <c r="CJ124" s="268"/>
      <c r="CK124" s="268"/>
      <c r="CL124" s="268"/>
      <c r="CM124" s="268"/>
      <c r="CN124" s="268"/>
      <c r="CO124" s="268"/>
      <c r="CP124" s="268"/>
      <c r="CQ124" s="268"/>
      <c r="CR124" s="268"/>
      <c r="CS124" s="268"/>
      <c r="CT124" s="268"/>
      <c r="CU124" s="268"/>
      <c r="CV124" s="268"/>
      <c r="CW124" s="268"/>
      <c r="CX124" s="268"/>
      <c r="CY124" s="268"/>
      <c r="CZ124" s="268"/>
      <c r="DA124" s="268"/>
      <c r="DB124" s="268"/>
      <c r="DC124" s="268"/>
      <c r="DD124" s="268"/>
      <c r="DE124" s="268"/>
      <c r="DF124" s="268"/>
      <c r="DG124" s="268"/>
      <c r="DH124" s="268"/>
      <c r="DI124" s="268"/>
      <c r="DJ124" s="268"/>
      <c r="DK124" s="268"/>
      <c r="DL124" s="268"/>
      <c r="DM124" s="268"/>
      <c r="DN124" s="268"/>
      <c r="DO124" s="268"/>
      <c r="DP124" s="268"/>
      <c r="DQ124" s="268"/>
      <c r="DR124" s="268"/>
      <c r="DS124" s="268"/>
      <c r="DT124" s="268"/>
      <c r="DU124" s="268"/>
      <c r="DV124" s="268"/>
      <c r="DW124" s="344"/>
      <c r="DX124" s="344"/>
      <c r="DY124" s="344"/>
      <c r="DZ124" s="344"/>
      <c r="EA124" s="344"/>
      <c r="EB124" s="344"/>
      <c r="EC124" s="344"/>
      <c r="ED124" s="344"/>
      <c r="EE124" s="344"/>
      <c r="EF124" s="344"/>
      <c r="EG124" s="344"/>
      <c r="EH124" s="344"/>
    </row>
    <row r="125" spans="1:138">
      <c r="A125" s="268"/>
      <c r="B125" s="342"/>
      <c r="E125" s="268"/>
      <c r="F125" s="268"/>
      <c r="G125" s="268"/>
      <c r="H125" s="268"/>
      <c r="I125" s="268"/>
      <c r="J125" s="268"/>
      <c r="K125" s="268"/>
      <c r="L125" s="268"/>
      <c r="M125" s="268"/>
      <c r="N125" s="268"/>
      <c r="O125" s="268"/>
      <c r="P125" s="268"/>
      <c r="Q125" s="268"/>
      <c r="R125" s="268"/>
      <c r="S125" s="268"/>
      <c r="T125" s="268"/>
      <c r="U125" s="268"/>
      <c r="V125" s="268"/>
      <c r="W125" s="268"/>
      <c r="X125" s="268"/>
      <c r="Y125" s="268"/>
      <c r="Z125" s="268"/>
      <c r="AA125" s="268"/>
      <c r="AB125" s="268"/>
      <c r="AC125" s="268"/>
      <c r="AD125" s="268"/>
      <c r="AE125" s="268"/>
      <c r="AF125" s="268"/>
      <c r="AG125" s="268"/>
      <c r="AH125" s="268"/>
      <c r="AI125" s="268"/>
      <c r="AJ125" s="268"/>
      <c r="AK125" s="268"/>
      <c r="AL125" s="268"/>
      <c r="AM125" s="268"/>
      <c r="AN125" s="268"/>
      <c r="AO125" s="268"/>
      <c r="AP125" s="268"/>
      <c r="AQ125" s="268"/>
      <c r="AR125" s="268"/>
      <c r="AS125" s="268"/>
      <c r="AT125" s="268"/>
      <c r="AU125" s="268"/>
      <c r="AV125" s="268"/>
      <c r="AW125" s="268"/>
      <c r="AX125" s="268"/>
      <c r="AY125" s="268"/>
      <c r="AZ125" s="268"/>
      <c r="BA125" s="268"/>
      <c r="BB125" s="268"/>
      <c r="BC125" s="268"/>
      <c r="BD125" s="268"/>
      <c r="BE125" s="268"/>
      <c r="BF125" s="268"/>
      <c r="BG125" s="268"/>
      <c r="BH125" s="268"/>
      <c r="BI125" s="268"/>
      <c r="BJ125" s="268"/>
      <c r="BK125" s="268"/>
      <c r="BL125" s="268"/>
      <c r="BM125" s="268"/>
      <c r="BN125" s="268"/>
      <c r="BO125" s="268"/>
      <c r="BP125" s="268"/>
      <c r="BQ125" s="268"/>
      <c r="BR125" s="268"/>
      <c r="BS125" s="268"/>
      <c r="BT125" s="268"/>
      <c r="BU125" s="268"/>
      <c r="BV125" s="268"/>
      <c r="BW125" s="268"/>
      <c r="BX125" s="268"/>
      <c r="BY125" s="268"/>
      <c r="BZ125" s="268"/>
      <c r="CA125" s="268"/>
      <c r="CB125" s="268"/>
      <c r="CC125" s="268"/>
      <c r="CD125" s="268"/>
      <c r="CE125" s="268"/>
      <c r="CF125" s="268"/>
      <c r="CG125" s="268"/>
      <c r="CH125" s="268"/>
      <c r="CI125" s="268"/>
      <c r="CJ125" s="268"/>
      <c r="CK125" s="268"/>
      <c r="CL125" s="268"/>
      <c r="CM125" s="268"/>
      <c r="CN125" s="268"/>
      <c r="CO125" s="268"/>
      <c r="CP125" s="268"/>
      <c r="CQ125" s="268"/>
      <c r="CR125" s="268"/>
      <c r="CS125" s="268"/>
      <c r="CT125" s="268"/>
      <c r="CU125" s="268"/>
      <c r="CV125" s="268"/>
      <c r="CW125" s="268"/>
      <c r="CX125" s="268"/>
      <c r="CY125" s="268"/>
      <c r="CZ125" s="268"/>
      <c r="DA125" s="268"/>
      <c r="DB125" s="268"/>
      <c r="DC125" s="268"/>
      <c r="DD125" s="268"/>
      <c r="DE125" s="268"/>
      <c r="DF125" s="268"/>
      <c r="DG125" s="268"/>
      <c r="DH125" s="268"/>
      <c r="DI125" s="268"/>
      <c r="DJ125" s="268"/>
      <c r="DK125" s="268"/>
      <c r="DL125" s="268"/>
      <c r="DM125" s="268"/>
      <c r="DN125" s="268"/>
      <c r="DO125" s="268"/>
      <c r="DP125" s="268"/>
      <c r="DQ125" s="268"/>
      <c r="DR125" s="268"/>
      <c r="DS125" s="268"/>
      <c r="DT125" s="268"/>
      <c r="DU125" s="268"/>
      <c r="DV125" s="268"/>
      <c r="DW125" s="344"/>
      <c r="DX125" s="344"/>
      <c r="DY125" s="344"/>
      <c r="DZ125" s="344"/>
      <c r="EA125" s="344"/>
      <c r="EB125" s="344"/>
      <c r="EC125" s="344"/>
      <c r="ED125" s="344"/>
      <c r="EE125" s="344"/>
      <c r="EF125" s="344"/>
      <c r="EG125" s="344"/>
      <c r="EH125" s="344"/>
    </row>
    <row r="126" spans="1:138">
      <c r="A126" s="268"/>
      <c r="B126" s="342"/>
      <c r="C126" s="339" t="s">
        <v>341</v>
      </c>
      <c r="D126" s="515"/>
      <c r="E126" s="515">
        <f t="shared" ref="E126:AJ126" si="43">-(E6+E91)</f>
        <v>0</v>
      </c>
      <c r="F126" s="515">
        <f t="shared" si="43"/>
        <v>0</v>
      </c>
      <c r="G126" s="515">
        <f t="shared" si="43"/>
        <v>0</v>
      </c>
      <c r="H126" s="515">
        <f t="shared" si="43"/>
        <v>0</v>
      </c>
      <c r="I126" s="515">
        <f t="shared" si="43"/>
        <v>0</v>
      </c>
      <c r="J126" s="515">
        <f t="shared" si="43"/>
        <v>0</v>
      </c>
      <c r="K126" s="515">
        <f t="shared" si="43"/>
        <v>0</v>
      </c>
      <c r="L126" s="515">
        <f t="shared" si="43"/>
        <v>0</v>
      </c>
      <c r="M126" s="515">
        <f t="shared" si="43"/>
        <v>0</v>
      </c>
      <c r="N126" s="515">
        <f t="shared" si="43"/>
        <v>0</v>
      </c>
      <c r="O126" s="515">
        <f t="shared" si="43"/>
        <v>0</v>
      </c>
      <c r="P126" s="515">
        <f t="shared" si="43"/>
        <v>0</v>
      </c>
      <c r="Q126" s="515">
        <f t="shared" si="43"/>
        <v>0</v>
      </c>
      <c r="R126" s="515">
        <f t="shared" si="43"/>
        <v>0</v>
      </c>
      <c r="S126" s="515">
        <f t="shared" si="43"/>
        <v>0</v>
      </c>
      <c r="T126" s="515">
        <f t="shared" si="43"/>
        <v>0</v>
      </c>
      <c r="U126" s="515">
        <f t="shared" si="43"/>
        <v>-25000000</v>
      </c>
      <c r="V126" s="515">
        <f t="shared" si="43"/>
        <v>-6500000</v>
      </c>
      <c r="W126" s="515">
        <f t="shared" si="43"/>
        <v>-1000000</v>
      </c>
      <c r="X126" s="515">
        <f t="shared" si="43"/>
        <v>-2000000</v>
      </c>
      <c r="Y126" s="515">
        <f t="shared" si="43"/>
        <v>-9500000</v>
      </c>
      <c r="Z126" s="515">
        <f t="shared" si="43"/>
        <v>-6000000</v>
      </c>
      <c r="AA126" s="515">
        <f t="shared" si="43"/>
        <v>0</v>
      </c>
      <c r="AB126" s="515">
        <f t="shared" si="43"/>
        <v>0</v>
      </c>
      <c r="AC126" s="515">
        <f t="shared" si="43"/>
        <v>0</v>
      </c>
      <c r="AD126" s="515">
        <f t="shared" si="43"/>
        <v>0</v>
      </c>
      <c r="AE126" s="515">
        <f t="shared" si="43"/>
        <v>0</v>
      </c>
      <c r="AF126" s="515">
        <f t="shared" si="43"/>
        <v>0</v>
      </c>
      <c r="AG126" s="515">
        <f t="shared" si="43"/>
        <v>0</v>
      </c>
      <c r="AH126" s="515">
        <f t="shared" si="43"/>
        <v>0</v>
      </c>
      <c r="AI126" s="515">
        <f t="shared" si="43"/>
        <v>50000000</v>
      </c>
      <c r="AJ126" s="515">
        <f t="shared" si="43"/>
        <v>0</v>
      </c>
      <c r="AK126" s="515">
        <f t="shared" ref="AK126:BP126" si="44">-(AK6+AK91)</f>
        <v>0</v>
      </c>
      <c r="AL126" s="515">
        <f t="shared" si="44"/>
        <v>0</v>
      </c>
      <c r="AM126" s="515">
        <f t="shared" si="44"/>
        <v>0</v>
      </c>
      <c r="AN126" s="515">
        <f t="shared" si="44"/>
        <v>0</v>
      </c>
      <c r="AO126" s="515">
        <f t="shared" si="44"/>
        <v>0</v>
      </c>
      <c r="AP126" s="515">
        <f t="shared" si="44"/>
        <v>0</v>
      </c>
      <c r="AQ126" s="515">
        <f t="shared" si="44"/>
        <v>0</v>
      </c>
      <c r="AR126" s="515">
        <f t="shared" si="44"/>
        <v>0</v>
      </c>
      <c r="AS126" s="515">
        <f t="shared" si="44"/>
        <v>0</v>
      </c>
      <c r="AT126" s="515">
        <f t="shared" si="44"/>
        <v>0</v>
      </c>
      <c r="AU126" s="515">
        <f t="shared" si="44"/>
        <v>0</v>
      </c>
      <c r="AV126" s="515">
        <f t="shared" si="44"/>
        <v>0</v>
      </c>
      <c r="AW126" s="515">
        <f t="shared" si="44"/>
        <v>0</v>
      </c>
      <c r="AX126" s="515">
        <f t="shared" si="44"/>
        <v>0</v>
      </c>
      <c r="AY126" s="515">
        <f t="shared" si="44"/>
        <v>0</v>
      </c>
      <c r="AZ126" s="515">
        <f t="shared" si="44"/>
        <v>0</v>
      </c>
      <c r="BA126" s="515">
        <f t="shared" si="44"/>
        <v>0</v>
      </c>
      <c r="BB126" s="515">
        <f t="shared" si="44"/>
        <v>0</v>
      </c>
      <c r="BC126" s="515">
        <f t="shared" si="44"/>
        <v>0</v>
      </c>
      <c r="BD126" s="515">
        <f t="shared" si="44"/>
        <v>0</v>
      </c>
      <c r="BE126" s="515">
        <f t="shared" si="44"/>
        <v>0</v>
      </c>
      <c r="BF126" s="515">
        <f t="shared" si="44"/>
        <v>0</v>
      </c>
      <c r="BG126" s="515">
        <f t="shared" si="44"/>
        <v>0</v>
      </c>
      <c r="BH126" s="515">
        <f t="shared" si="44"/>
        <v>0</v>
      </c>
      <c r="BI126" s="515">
        <f t="shared" si="44"/>
        <v>0</v>
      </c>
      <c r="BJ126" s="515">
        <f t="shared" si="44"/>
        <v>0</v>
      </c>
      <c r="BK126" s="515">
        <f t="shared" si="44"/>
        <v>0</v>
      </c>
      <c r="BL126" s="515">
        <f t="shared" si="44"/>
        <v>0</v>
      </c>
      <c r="BM126" s="515">
        <f t="shared" si="44"/>
        <v>0</v>
      </c>
      <c r="BN126" s="515">
        <f t="shared" si="44"/>
        <v>0</v>
      </c>
      <c r="BO126" s="515">
        <f t="shared" si="44"/>
        <v>0</v>
      </c>
      <c r="BP126" s="515">
        <f t="shared" si="44"/>
        <v>0</v>
      </c>
      <c r="BQ126" s="515">
        <f t="shared" ref="BQ126:BX126" si="45">-(BQ6+BQ91)</f>
        <v>0</v>
      </c>
      <c r="BR126" s="515">
        <f t="shared" si="45"/>
        <v>0</v>
      </c>
      <c r="BS126" s="515">
        <f t="shared" si="45"/>
        <v>0</v>
      </c>
      <c r="BT126" s="515">
        <f t="shared" si="45"/>
        <v>0</v>
      </c>
      <c r="BU126" s="515">
        <f t="shared" si="45"/>
        <v>0</v>
      </c>
      <c r="BV126" s="515">
        <f t="shared" si="45"/>
        <v>0</v>
      </c>
      <c r="BW126" s="515">
        <f t="shared" si="45"/>
        <v>0</v>
      </c>
      <c r="BX126" s="515">
        <f t="shared" si="45"/>
        <v>0</v>
      </c>
      <c r="BY126" s="268"/>
      <c r="BZ126" s="268"/>
      <c r="CA126" s="268"/>
      <c r="CB126" s="268"/>
      <c r="CC126" s="268"/>
      <c r="CD126" s="268"/>
      <c r="CE126" s="268"/>
      <c r="CF126" s="268"/>
      <c r="CG126" s="268"/>
      <c r="CH126" s="268"/>
      <c r="CI126" s="268"/>
      <c r="CJ126" s="268"/>
      <c r="CK126" s="268"/>
      <c r="CL126" s="268"/>
      <c r="CM126" s="268"/>
      <c r="CN126" s="268"/>
      <c r="CO126" s="268"/>
      <c r="CP126" s="268"/>
      <c r="CQ126" s="268"/>
      <c r="CR126" s="268"/>
      <c r="CS126" s="268"/>
      <c r="CT126" s="268"/>
      <c r="CU126" s="268"/>
      <c r="CV126" s="268"/>
      <c r="CW126" s="268"/>
      <c r="CX126" s="268"/>
      <c r="CY126" s="268"/>
      <c r="CZ126" s="268"/>
      <c r="DA126" s="268"/>
      <c r="DB126" s="268"/>
      <c r="DC126" s="268"/>
      <c r="DD126" s="268"/>
      <c r="DE126" s="268"/>
      <c r="DF126" s="268"/>
      <c r="DG126" s="268"/>
      <c r="DH126" s="268"/>
      <c r="DI126" s="268"/>
      <c r="DJ126" s="268"/>
      <c r="DK126" s="268"/>
      <c r="DL126" s="268"/>
      <c r="DM126" s="268"/>
      <c r="DN126" s="268"/>
      <c r="DO126" s="268"/>
      <c r="DP126" s="268"/>
      <c r="DQ126" s="268"/>
      <c r="DR126" s="268"/>
      <c r="DS126" s="268"/>
      <c r="DT126" s="268"/>
      <c r="DU126" s="268"/>
      <c r="DV126" s="268"/>
      <c r="DW126" s="344"/>
      <c r="DX126" s="344"/>
      <c r="DY126" s="344"/>
      <c r="DZ126" s="344"/>
      <c r="EA126" s="344"/>
      <c r="EB126" s="344"/>
      <c r="EC126" s="344"/>
      <c r="ED126" s="344"/>
      <c r="EE126" s="344"/>
      <c r="EF126" s="344"/>
      <c r="EG126" s="344"/>
      <c r="EH126" s="344"/>
    </row>
    <row r="127" spans="1:138">
      <c r="A127" s="268"/>
      <c r="B127" s="342"/>
      <c r="C127" s="339" t="s">
        <v>342</v>
      </c>
      <c r="D127" s="520"/>
      <c r="E127" s="515"/>
      <c r="F127" s="515"/>
      <c r="G127" s="515"/>
      <c r="H127" s="515"/>
      <c r="I127" s="515"/>
      <c r="J127" s="515"/>
      <c r="K127" s="515"/>
      <c r="L127" s="515"/>
      <c r="M127" s="515"/>
      <c r="N127" s="515"/>
      <c r="O127" s="515"/>
      <c r="P127" s="515"/>
      <c r="Q127" s="515"/>
      <c r="R127" s="515"/>
      <c r="S127" s="515"/>
      <c r="T127" s="515"/>
      <c r="U127" s="515"/>
      <c r="V127" s="515">
        <f>-Shares!D5-Businessplan_prodej!F13</f>
        <v>-13647457</v>
      </c>
      <c r="W127" s="515"/>
      <c r="X127" s="515"/>
      <c r="Y127" s="515"/>
      <c r="Z127" s="515"/>
      <c r="AA127" s="515"/>
      <c r="AB127" s="515"/>
      <c r="AC127" s="515"/>
      <c r="AD127" s="515"/>
      <c r="AE127" s="515"/>
      <c r="AF127" s="515"/>
      <c r="AG127" s="515"/>
      <c r="AH127" s="515"/>
      <c r="AI127" s="515">
        <f>-$V$127</f>
        <v>13647457</v>
      </c>
      <c r="AJ127" s="515"/>
      <c r="AK127" s="515"/>
      <c r="AL127" s="515"/>
      <c r="AM127" s="515"/>
      <c r="AN127" s="515"/>
      <c r="AO127" s="515"/>
      <c r="AP127" s="515"/>
      <c r="AQ127" s="515"/>
      <c r="AR127" s="515"/>
      <c r="AS127" s="515"/>
      <c r="AT127" s="515"/>
      <c r="AU127" s="515"/>
      <c r="AV127" s="515"/>
      <c r="AW127" s="515"/>
      <c r="AX127" s="515"/>
      <c r="AY127" s="515"/>
      <c r="AZ127" s="515"/>
      <c r="BA127" s="515"/>
      <c r="BB127" s="515"/>
      <c r="BC127" s="515"/>
      <c r="BD127" s="515"/>
      <c r="BE127" s="515"/>
      <c r="BF127" s="515"/>
      <c r="BG127" s="515"/>
      <c r="BH127" s="515"/>
      <c r="BI127" s="515"/>
      <c r="BJ127" s="515"/>
      <c r="BK127" s="515"/>
      <c r="BL127" s="515"/>
      <c r="BM127" s="515"/>
      <c r="BN127" s="515"/>
      <c r="BO127" s="515"/>
      <c r="BP127" s="515"/>
      <c r="BQ127" s="515"/>
      <c r="BR127" s="515"/>
      <c r="BS127" s="515"/>
      <c r="BT127" s="515"/>
      <c r="BU127" s="515"/>
      <c r="BV127" s="515"/>
      <c r="BW127" s="515"/>
      <c r="BX127" s="515"/>
      <c r="BY127" s="268"/>
      <c r="BZ127" s="268"/>
      <c r="CA127" s="268"/>
      <c r="CB127" s="268"/>
      <c r="CC127" s="268"/>
      <c r="CD127" s="268"/>
      <c r="CE127" s="268"/>
      <c r="CF127" s="268"/>
      <c r="CG127" s="268"/>
      <c r="CH127" s="268"/>
      <c r="CI127" s="268"/>
      <c r="CJ127" s="268"/>
      <c r="CK127" s="268"/>
      <c r="CL127" s="268"/>
      <c r="CM127" s="268"/>
      <c r="CN127" s="268"/>
      <c r="CO127" s="268"/>
      <c r="CP127" s="268"/>
      <c r="CQ127" s="268"/>
      <c r="CR127" s="268"/>
      <c r="CS127" s="268"/>
      <c r="CT127" s="268"/>
      <c r="CU127" s="268"/>
      <c r="CV127" s="268"/>
      <c r="CW127" s="268"/>
      <c r="CX127" s="268"/>
      <c r="CY127" s="268"/>
      <c r="CZ127" s="268"/>
      <c r="DA127" s="268"/>
      <c r="DB127" s="268"/>
      <c r="DC127" s="268"/>
      <c r="DD127" s="268"/>
      <c r="DE127" s="268"/>
      <c r="DF127" s="268"/>
      <c r="DG127" s="268"/>
      <c r="DH127" s="268"/>
      <c r="DI127" s="268"/>
      <c r="DJ127" s="268"/>
      <c r="DK127" s="268"/>
      <c r="DL127" s="268"/>
      <c r="DM127" s="268"/>
      <c r="DN127" s="268"/>
      <c r="DO127" s="268"/>
      <c r="DP127" s="268"/>
      <c r="DQ127" s="268"/>
      <c r="DR127" s="268"/>
      <c r="DS127" s="268"/>
      <c r="DT127" s="268"/>
      <c r="DU127" s="268"/>
      <c r="DV127" s="268"/>
      <c r="DW127" s="344"/>
      <c r="DX127" s="344"/>
      <c r="DY127" s="344"/>
      <c r="DZ127" s="344"/>
      <c r="EA127" s="344"/>
      <c r="EB127" s="344"/>
      <c r="EC127" s="344"/>
      <c r="ED127" s="344"/>
      <c r="EE127" s="344"/>
      <c r="EF127" s="344"/>
      <c r="EG127" s="344"/>
      <c r="EH127" s="344"/>
    </row>
    <row r="128" spans="1:138">
      <c r="A128" s="268"/>
      <c r="B128" s="342"/>
      <c r="C128" s="339" t="s">
        <v>333</v>
      </c>
      <c r="D128" s="520"/>
      <c r="E128" s="515">
        <f t="shared" ref="E128:U128" si="46">-E56</f>
        <v>0</v>
      </c>
      <c r="F128" s="515">
        <f t="shared" si="46"/>
        <v>0</v>
      </c>
      <c r="G128" s="515">
        <f t="shared" si="46"/>
        <v>0</v>
      </c>
      <c r="H128" s="515">
        <f t="shared" si="46"/>
        <v>0</v>
      </c>
      <c r="I128" s="515">
        <f t="shared" si="46"/>
        <v>0</v>
      </c>
      <c r="J128" s="515">
        <f t="shared" si="46"/>
        <v>0</v>
      </c>
      <c r="K128" s="515">
        <f t="shared" si="46"/>
        <v>0</v>
      </c>
      <c r="L128" s="515">
        <f t="shared" si="46"/>
        <v>0</v>
      </c>
      <c r="M128" s="515">
        <f t="shared" si="46"/>
        <v>0</v>
      </c>
      <c r="N128" s="515">
        <f t="shared" si="46"/>
        <v>0</v>
      </c>
      <c r="O128" s="515">
        <f t="shared" si="46"/>
        <v>0</v>
      </c>
      <c r="P128" s="515">
        <f t="shared" si="46"/>
        <v>0</v>
      </c>
      <c r="Q128" s="515">
        <f t="shared" si="46"/>
        <v>0</v>
      </c>
      <c r="R128" s="515">
        <f t="shared" si="46"/>
        <v>0</v>
      </c>
      <c r="S128" s="515">
        <f t="shared" si="46"/>
        <v>0</v>
      </c>
      <c r="T128" s="515">
        <f t="shared" si="46"/>
        <v>0</v>
      </c>
      <c r="U128" s="515">
        <f t="shared" si="46"/>
        <v>0</v>
      </c>
      <c r="V128" s="515"/>
      <c r="W128" s="515">
        <f t="shared" ref="W128:BX128" si="47">-W56</f>
        <v>0</v>
      </c>
      <c r="X128" s="515">
        <f t="shared" si="47"/>
        <v>0</v>
      </c>
      <c r="Y128" s="515">
        <f t="shared" si="47"/>
        <v>0</v>
      </c>
      <c r="Z128" s="515">
        <f t="shared" si="47"/>
        <v>0</v>
      </c>
      <c r="AA128" s="515">
        <f t="shared" si="47"/>
        <v>0</v>
      </c>
      <c r="AB128" s="515">
        <f t="shared" si="47"/>
        <v>0</v>
      </c>
      <c r="AC128" s="515">
        <f t="shared" si="47"/>
        <v>0</v>
      </c>
      <c r="AD128" s="515">
        <f t="shared" si="47"/>
        <v>0</v>
      </c>
      <c r="AE128" s="515">
        <f t="shared" si="47"/>
        <v>0</v>
      </c>
      <c r="AF128" s="515">
        <f t="shared" si="47"/>
        <v>0</v>
      </c>
      <c r="AG128" s="515">
        <f t="shared" si="47"/>
        <v>0</v>
      </c>
      <c r="AH128" s="515">
        <f t="shared" si="47"/>
        <v>0</v>
      </c>
      <c r="AI128" s="515">
        <f>-AI56</f>
        <v>6118749.9999999991</v>
      </c>
      <c r="AJ128" s="515">
        <f>-AJ56</f>
        <v>0</v>
      </c>
      <c r="AK128" s="515">
        <f t="shared" si="47"/>
        <v>0</v>
      </c>
      <c r="AL128" s="515">
        <f t="shared" si="47"/>
        <v>0</v>
      </c>
      <c r="AM128" s="515">
        <f t="shared" si="47"/>
        <v>0</v>
      </c>
      <c r="AN128" s="515">
        <f t="shared" si="47"/>
        <v>0</v>
      </c>
      <c r="AO128" s="515">
        <f t="shared" si="47"/>
        <v>0</v>
      </c>
      <c r="AP128" s="515">
        <f t="shared" si="47"/>
        <v>0</v>
      </c>
      <c r="AQ128" s="515">
        <f t="shared" si="47"/>
        <v>0</v>
      </c>
      <c r="AR128" s="515">
        <f t="shared" si="47"/>
        <v>0</v>
      </c>
      <c r="AS128" s="515">
        <f t="shared" si="47"/>
        <v>0</v>
      </c>
      <c r="AT128" s="515">
        <f t="shared" si="47"/>
        <v>0</v>
      </c>
      <c r="AU128" s="515">
        <f t="shared" si="47"/>
        <v>0</v>
      </c>
      <c r="AV128" s="515">
        <f t="shared" si="47"/>
        <v>0</v>
      </c>
      <c r="AW128" s="515">
        <f t="shared" si="47"/>
        <v>0</v>
      </c>
      <c r="AX128" s="515">
        <f t="shared" si="47"/>
        <v>0</v>
      </c>
      <c r="AY128" s="515">
        <f t="shared" si="47"/>
        <v>0</v>
      </c>
      <c r="AZ128" s="515">
        <f t="shared" si="47"/>
        <v>0</v>
      </c>
      <c r="BA128" s="515">
        <f t="shared" si="47"/>
        <v>0</v>
      </c>
      <c r="BB128" s="515">
        <f t="shared" si="47"/>
        <v>0</v>
      </c>
      <c r="BC128" s="515">
        <f t="shared" si="47"/>
        <v>0</v>
      </c>
      <c r="BD128" s="515">
        <f t="shared" si="47"/>
        <v>0</v>
      </c>
      <c r="BE128" s="515">
        <f t="shared" si="47"/>
        <v>0</v>
      </c>
      <c r="BF128" s="515">
        <f t="shared" si="47"/>
        <v>0</v>
      </c>
      <c r="BG128" s="515">
        <f t="shared" si="47"/>
        <v>0</v>
      </c>
      <c r="BH128" s="515">
        <f t="shared" si="47"/>
        <v>0</v>
      </c>
      <c r="BI128" s="515">
        <f t="shared" si="47"/>
        <v>0</v>
      </c>
      <c r="BJ128" s="515">
        <f t="shared" si="47"/>
        <v>0</v>
      </c>
      <c r="BK128" s="515">
        <f t="shared" si="47"/>
        <v>0</v>
      </c>
      <c r="BL128" s="515">
        <f t="shared" si="47"/>
        <v>0</v>
      </c>
      <c r="BM128" s="515">
        <f t="shared" si="47"/>
        <v>0</v>
      </c>
      <c r="BN128" s="515">
        <f t="shared" si="47"/>
        <v>0</v>
      </c>
      <c r="BO128" s="515">
        <f t="shared" si="47"/>
        <v>0</v>
      </c>
      <c r="BP128" s="515">
        <f t="shared" si="47"/>
        <v>0</v>
      </c>
      <c r="BQ128" s="515">
        <f t="shared" si="47"/>
        <v>0</v>
      </c>
      <c r="BR128" s="515">
        <f t="shared" si="47"/>
        <v>0</v>
      </c>
      <c r="BS128" s="515">
        <f t="shared" si="47"/>
        <v>0</v>
      </c>
      <c r="BT128" s="515">
        <f t="shared" si="47"/>
        <v>0</v>
      </c>
      <c r="BU128" s="515">
        <f t="shared" si="47"/>
        <v>0</v>
      </c>
      <c r="BV128" s="515">
        <f t="shared" si="47"/>
        <v>0</v>
      </c>
      <c r="BW128" s="515">
        <f t="shared" si="47"/>
        <v>0</v>
      </c>
      <c r="BX128" s="515">
        <f t="shared" si="47"/>
        <v>0</v>
      </c>
      <c r="BY128" s="268"/>
      <c r="BZ128" s="268"/>
      <c r="CA128" s="268"/>
      <c r="CB128" s="268"/>
      <c r="CC128" s="268"/>
      <c r="CD128" s="268"/>
      <c r="CE128" s="268"/>
      <c r="CF128" s="268"/>
      <c r="CG128" s="268"/>
      <c r="CH128" s="268"/>
      <c r="CI128" s="268"/>
      <c r="CJ128" s="268"/>
      <c r="CK128" s="268"/>
      <c r="CL128" s="268"/>
      <c r="CM128" s="268"/>
      <c r="CN128" s="268"/>
      <c r="CO128" s="268"/>
      <c r="CP128" s="268"/>
      <c r="CQ128" s="268"/>
      <c r="CR128" s="268"/>
      <c r="CS128" s="268"/>
      <c r="CT128" s="268"/>
      <c r="CU128" s="268"/>
      <c r="CV128" s="268"/>
      <c r="CW128" s="268"/>
      <c r="CX128" s="268"/>
      <c r="CY128" s="268"/>
      <c r="CZ128" s="268"/>
      <c r="DA128" s="268"/>
      <c r="DB128" s="268"/>
      <c r="DC128" s="268"/>
      <c r="DD128" s="268"/>
      <c r="DE128" s="268"/>
      <c r="DF128" s="268"/>
      <c r="DG128" s="268"/>
      <c r="DH128" s="268"/>
      <c r="DI128" s="268"/>
      <c r="DJ128" s="268"/>
      <c r="DK128" s="268"/>
      <c r="DL128" s="268"/>
      <c r="DM128" s="268"/>
      <c r="DN128" s="268"/>
      <c r="DO128" s="268"/>
      <c r="DP128" s="268"/>
      <c r="DQ128" s="268"/>
      <c r="DR128" s="268"/>
      <c r="DS128" s="268"/>
      <c r="DT128" s="268"/>
      <c r="DU128" s="268"/>
      <c r="DV128" s="268"/>
      <c r="DW128" s="344"/>
      <c r="DX128" s="344"/>
      <c r="DY128" s="344"/>
      <c r="DZ128" s="344"/>
      <c r="EA128" s="344"/>
      <c r="EB128" s="344"/>
      <c r="EC128" s="344"/>
      <c r="ED128" s="344"/>
      <c r="EE128" s="344"/>
      <c r="EF128" s="344"/>
      <c r="EG128" s="344"/>
      <c r="EH128" s="344"/>
    </row>
    <row r="129" spans="1:138">
      <c r="A129" s="268"/>
      <c r="B129" s="342"/>
      <c r="C129" s="339" t="s">
        <v>334</v>
      </c>
      <c r="D129" s="520"/>
      <c r="E129" s="515"/>
      <c r="F129" s="515"/>
      <c r="G129" s="515"/>
      <c r="H129" s="515"/>
      <c r="I129" s="515"/>
      <c r="J129" s="515"/>
      <c r="K129" s="515"/>
      <c r="L129" s="515"/>
      <c r="M129" s="515"/>
      <c r="N129" s="515"/>
      <c r="O129" s="515"/>
      <c r="P129" s="515"/>
      <c r="Q129" s="515"/>
      <c r="R129" s="515"/>
      <c r="S129" s="515"/>
      <c r="T129" s="515"/>
      <c r="U129" s="515"/>
      <c r="V129" s="515"/>
      <c r="W129" s="515"/>
      <c r="X129" s="515"/>
      <c r="Y129" s="515"/>
      <c r="Z129" s="515"/>
      <c r="AA129" s="515"/>
      <c r="AB129" s="515"/>
      <c r="AC129" s="515"/>
      <c r="AD129" s="515"/>
      <c r="AE129" s="515"/>
      <c r="AF129" s="515"/>
      <c r="AG129" s="515"/>
      <c r="AH129" s="515"/>
      <c r="AI129" s="515">
        <f>AI99-AI127</f>
        <v>36381783.980475955</v>
      </c>
      <c r="AJ129" s="515"/>
      <c r="AK129" s="515"/>
      <c r="AL129" s="515"/>
      <c r="AM129" s="515"/>
      <c r="AN129" s="515"/>
      <c r="AO129" s="515"/>
      <c r="AP129" s="515"/>
      <c r="AQ129" s="515"/>
      <c r="AR129" s="515"/>
      <c r="AS129" s="515"/>
      <c r="AT129" s="515"/>
      <c r="AU129" s="515"/>
      <c r="AV129" s="515"/>
      <c r="AW129" s="515"/>
      <c r="AX129" s="515"/>
      <c r="AY129" s="515"/>
      <c r="AZ129" s="515"/>
      <c r="BA129" s="515"/>
      <c r="BB129" s="515"/>
      <c r="BC129" s="515"/>
      <c r="BD129" s="515"/>
      <c r="BE129" s="515"/>
      <c r="BF129" s="515"/>
      <c r="BG129" s="515"/>
      <c r="BH129" s="515"/>
      <c r="BI129" s="515"/>
      <c r="BJ129" s="515"/>
      <c r="BK129" s="515"/>
      <c r="BL129" s="515"/>
      <c r="BM129" s="515"/>
      <c r="BN129" s="515"/>
      <c r="BO129" s="515"/>
      <c r="BP129" s="515"/>
      <c r="BQ129" s="515"/>
      <c r="BR129" s="515"/>
      <c r="BS129" s="515"/>
      <c r="BT129" s="515"/>
      <c r="BU129" s="515"/>
      <c r="BV129" s="515"/>
      <c r="BW129" s="515"/>
      <c r="BX129" s="515" t="e">
        <f>IF(D104&gt;0.25,(BX99-BX107)*D130,BX99*D130)</f>
        <v>#NUM!</v>
      </c>
      <c r="BY129" s="268"/>
      <c r="BZ129" s="268"/>
      <c r="CA129" s="268"/>
      <c r="CB129" s="268"/>
      <c r="CC129" s="268"/>
      <c r="CD129" s="268"/>
      <c r="CE129" s="268"/>
      <c r="CF129" s="268"/>
      <c r="CG129" s="268"/>
      <c r="CH129" s="268"/>
      <c r="CI129" s="268"/>
      <c r="CJ129" s="268"/>
      <c r="CK129" s="268"/>
      <c r="CL129" s="268"/>
      <c r="CM129" s="268"/>
      <c r="CN129" s="268"/>
      <c r="CO129" s="268"/>
      <c r="CP129" s="268"/>
      <c r="CQ129" s="268"/>
      <c r="CR129" s="268"/>
      <c r="CS129" s="268"/>
      <c r="CT129" s="268"/>
      <c r="CU129" s="268"/>
      <c r="CV129" s="268"/>
      <c r="CW129" s="268"/>
      <c r="CX129" s="268"/>
      <c r="CY129" s="268"/>
      <c r="CZ129" s="268"/>
      <c r="DA129" s="268"/>
      <c r="DB129" s="268"/>
      <c r="DC129" s="268"/>
      <c r="DD129" s="268"/>
      <c r="DE129" s="268"/>
      <c r="DF129" s="268"/>
      <c r="DG129" s="268"/>
      <c r="DH129" s="268"/>
      <c r="DI129" s="268"/>
      <c r="DJ129" s="268"/>
      <c r="DK129" s="268"/>
      <c r="DL129" s="268"/>
      <c r="DM129" s="268"/>
      <c r="DN129" s="268"/>
      <c r="DO129" s="268"/>
      <c r="DP129" s="268"/>
      <c r="DQ129" s="268"/>
      <c r="DR129" s="268"/>
      <c r="DS129" s="268"/>
      <c r="DT129" s="268"/>
      <c r="DU129" s="268"/>
      <c r="DV129" s="268"/>
      <c r="DW129" s="344"/>
      <c r="DX129" s="344"/>
      <c r="DY129" s="344"/>
      <c r="DZ129" s="344"/>
      <c r="EA129" s="344"/>
      <c r="EB129" s="344"/>
      <c r="EC129" s="344"/>
      <c r="ED129" s="344"/>
      <c r="EE129" s="344"/>
      <c r="EF129" s="344"/>
      <c r="EG129" s="344"/>
      <c r="EH129" s="344"/>
    </row>
    <row r="130" spans="1:138">
      <c r="A130" s="268"/>
      <c r="B130" s="342"/>
      <c r="C130" s="517" t="s">
        <v>335</v>
      </c>
      <c r="D130" s="520">
        <v>1</v>
      </c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7"/>
      <c r="AI130" s="287"/>
      <c r="AJ130" s="287"/>
      <c r="AK130" s="287"/>
      <c r="AL130" s="287"/>
      <c r="AM130" s="287"/>
      <c r="AN130" s="287"/>
      <c r="AO130" s="287"/>
      <c r="AP130" s="287"/>
      <c r="AQ130" s="287"/>
      <c r="AR130" s="287"/>
      <c r="AS130" s="287"/>
      <c r="AT130" s="287"/>
      <c r="AU130" s="287"/>
      <c r="AV130" s="287"/>
      <c r="AW130" s="287"/>
      <c r="AX130" s="287"/>
      <c r="AY130" s="287"/>
      <c r="AZ130" s="287"/>
      <c r="BA130" s="287"/>
      <c r="BB130" s="287"/>
      <c r="BC130" s="287"/>
      <c r="BD130" s="287"/>
      <c r="BE130" s="287"/>
      <c r="BF130" s="287"/>
      <c r="BG130" s="287"/>
      <c r="BH130" s="287"/>
      <c r="BI130" s="287"/>
      <c r="BJ130" s="287"/>
      <c r="BK130" s="287"/>
      <c r="BL130" s="287"/>
      <c r="BM130" s="287"/>
      <c r="BN130" s="287"/>
      <c r="BO130" s="287"/>
      <c r="BP130" s="287"/>
      <c r="BQ130" s="287"/>
      <c r="BR130" s="287"/>
      <c r="BS130" s="287"/>
      <c r="BT130" s="287"/>
      <c r="BU130" s="287"/>
      <c r="BV130" s="287"/>
      <c r="BW130" s="287"/>
      <c r="BX130" s="287"/>
      <c r="BY130" s="268"/>
      <c r="BZ130" s="268"/>
      <c r="CA130" s="268"/>
      <c r="CB130" s="268"/>
      <c r="CC130" s="268"/>
      <c r="CD130" s="268"/>
      <c r="CE130" s="268"/>
      <c r="CF130" s="268"/>
      <c r="CG130" s="268"/>
      <c r="CH130" s="268"/>
      <c r="CI130" s="268"/>
      <c r="CJ130" s="268"/>
      <c r="CK130" s="268"/>
      <c r="CL130" s="268"/>
      <c r="CM130" s="268"/>
      <c r="CN130" s="268"/>
      <c r="CO130" s="268"/>
      <c r="CP130" s="268"/>
      <c r="CQ130" s="268"/>
      <c r="CR130" s="268"/>
      <c r="CS130" s="268"/>
      <c r="CT130" s="268"/>
      <c r="CU130" s="268"/>
      <c r="CV130" s="268"/>
      <c r="CW130" s="268"/>
      <c r="CX130" s="268"/>
      <c r="CY130" s="268"/>
      <c r="CZ130" s="268"/>
      <c r="DA130" s="268"/>
      <c r="DB130" s="268"/>
      <c r="DC130" s="268"/>
      <c r="DD130" s="268"/>
      <c r="DE130" s="268"/>
      <c r="DF130" s="268"/>
      <c r="DG130" s="268"/>
      <c r="DH130" s="268"/>
      <c r="DI130" s="268"/>
      <c r="DJ130" s="268"/>
      <c r="DK130" s="268"/>
      <c r="DL130" s="268"/>
      <c r="DM130" s="268"/>
      <c r="DN130" s="268"/>
      <c r="DO130" s="268"/>
      <c r="DP130" s="268"/>
      <c r="DQ130" s="268"/>
      <c r="DR130" s="268"/>
      <c r="DS130" s="268"/>
      <c r="DT130" s="268"/>
      <c r="DU130" s="268"/>
      <c r="DV130" s="268"/>
      <c r="DW130" s="344"/>
      <c r="DX130" s="344"/>
      <c r="DY130" s="344"/>
      <c r="DZ130" s="344"/>
      <c r="EA130" s="344"/>
      <c r="EB130" s="344"/>
      <c r="EC130" s="344"/>
      <c r="ED130" s="344"/>
      <c r="EE130" s="344"/>
      <c r="EF130" s="344"/>
      <c r="EG130" s="344"/>
      <c r="EH130" s="344"/>
    </row>
    <row r="131" spans="1:138">
      <c r="A131" s="268"/>
      <c r="B131" s="342"/>
      <c r="C131" s="339" t="s">
        <v>336</v>
      </c>
      <c r="D131" s="515"/>
      <c r="E131" s="521">
        <f t="shared" ref="E131:BX131" si="48">E126+E127+E128+E129+E130</f>
        <v>0</v>
      </c>
      <c r="F131" s="521">
        <f t="shared" si="48"/>
        <v>0</v>
      </c>
      <c r="G131" s="521">
        <f t="shared" si="48"/>
        <v>0</v>
      </c>
      <c r="H131" s="521">
        <f t="shared" si="48"/>
        <v>0</v>
      </c>
      <c r="I131" s="521">
        <f t="shared" si="48"/>
        <v>0</v>
      </c>
      <c r="J131" s="521">
        <f t="shared" si="48"/>
        <v>0</v>
      </c>
      <c r="K131" s="521">
        <f t="shared" si="48"/>
        <v>0</v>
      </c>
      <c r="L131" s="521">
        <f t="shared" si="48"/>
        <v>0</v>
      </c>
      <c r="M131" s="521">
        <f t="shared" si="48"/>
        <v>0</v>
      </c>
      <c r="N131" s="521">
        <f t="shared" si="48"/>
        <v>0</v>
      </c>
      <c r="O131" s="521">
        <f t="shared" si="48"/>
        <v>0</v>
      </c>
      <c r="P131" s="521">
        <f t="shared" si="48"/>
        <v>0</v>
      </c>
      <c r="Q131" s="521">
        <f t="shared" si="48"/>
        <v>0</v>
      </c>
      <c r="R131" s="521">
        <f t="shared" si="48"/>
        <v>0</v>
      </c>
      <c r="S131" s="521">
        <f t="shared" si="48"/>
        <v>0</v>
      </c>
      <c r="T131" s="521">
        <f t="shared" si="48"/>
        <v>0</v>
      </c>
      <c r="U131" s="521">
        <f t="shared" si="48"/>
        <v>-25000000</v>
      </c>
      <c r="V131" s="521">
        <f t="shared" si="48"/>
        <v>-20147457</v>
      </c>
      <c r="W131" s="521">
        <f t="shared" si="48"/>
        <v>-1000000</v>
      </c>
      <c r="X131" s="521">
        <f t="shared" si="48"/>
        <v>-2000000</v>
      </c>
      <c r="Y131" s="521">
        <f t="shared" si="48"/>
        <v>-9500000</v>
      </c>
      <c r="Z131" s="521">
        <f t="shared" si="48"/>
        <v>-6000000</v>
      </c>
      <c r="AA131" s="521">
        <f t="shared" si="48"/>
        <v>0</v>
      </c>
      <c r="AB131" s="521">
        <f t="shared" si="48"/>
        <v>0</v>
      </c>
      <c r="AC131" s="521">
        <f t="shared" si="48"/>
        <v>0</v>
      </c>
      <c r="AD131" s="521">
        <f t="shared" si="48"/>
        <v>0</v>
      </c>
      <c r="AE131" s="521">
        <f t="shared" si="48"/>
        <v>0</v>
      </c>
      <c r="AF131" s="521">
        <f t="shared" si="48"/>
        <v>0</v>
      </c>
      <c r="AG131" s="521">
        <f t="shared" si="48"/>
        <v>0</v>
      </c>
      <c r="AH131" s="521">
        <f t="shared" si="48"/>
        <v>0</v>
      </c>
      <c r="AI131" s="521">
        <f>AI126+AI127+AI128+AI129+AI130</f>
        <v>106147990.98047596</v>
      </c>
      <c r="AJ131" s="521">
        <f t="shared" si="48"/>
        <v>0</v>
      </c>
      <c r="AK131" s="521">
        <f t="shared" si="48"/>
        <v>0</v>
      </c>
      <c r="AL131" s="521">
        <f t="shared" si="48"/>
        <v>0</v>
      </c>
      <c r="AM131" s="521">
        <f t="shared" si="48"/>
        <v>0</v>
      </c>
      <c r="AN131" s="521">
        <f t="shared" si="48"/>
        <v>0</v>
      </c>
      <c r="AO131" s="521">
        <f t="shared" si="48"/>
        <v>0</v>
      </c>
      <c r="AP131" s="521">
        <f t="shared" si="48"/>
        <v>0</v>
      </c>
      <c r="AQ131" s="521">
        <f t="shared" si="48"/>
        <v>0</v>
      </c>
      <c r="AR131" s="521">
        <f t="shared" si="48"/>
        <v>0</v>
      </c>
      <c r="AS131" s="521">
        <f t="shared" si="48"/>
        <v>0</v>
      </c>
      <c r="AT131" s="521">
        <f t="shared" si="48"/>
        <v>0</v>
      </c>
      <c r="AU131" s="521">
        <f t="shared" si="48"/>
        <v>0</v>
      </c>
      <c r="AV131" s="521">
        <f t="shared" si="48"/>
        <v>0</v>
      </c>
      <c r="AW131" s="521">
        <f t="shared" si="48"/>
        <v>0</v>
      </c>
      <c r="AX131" s="521">
        <f t="shared" si="48"/>
        <v>0</v>
      </c>
      <c r="AY131" s="521">
        <f t="shared" si="48"/>
        <v>0</v>
      </c>
      <c r="AZ131" s="521">
        <f t="shared" si="48"/>
        <v>0</v>
      </c>
      <c r="BA131" s="521">
        <f t="shared" si="48"/>
        <v>0</v>
      </c>
      <c r="BB131" s="521">
        <f t="shared" si="48"/>
        <v>0</v>
      </c>
      <c r="BC131" s="521">
        <f t="shared" si="48"/>
        <v>0</v>
      </c>
      <c r="BD131" s="521">
        <f t="shared" si="48"/>
        <v>0</v>
      </c>
      <c r="BE131" s="521">
        <f t="shared" si="48"/>
        <v>0</v>
      </c>
      <c r="BF131" s="521">
        <f t="shared" si="48"/>
        <v>0</v>
      </c>
      <c r="BG131" s="521">
        <f t="shared" si="48"/>
        <v>0</v>
      </c>
      <c r="BH131" s="521">
        <f t="shared" si="48"/>
        <v>0</v>
      </c>
      <c r="BI131" s="521">
        <f t="shared" si="48"/>
        <v>0</v>
      </c>
      <c r="BJ131" s="521">
        <f t="shared" si="48"/>
        <v>0</v>
      </c>
      <c r="BK131" s="521">
        <f t="shared" si="48"/>
        <v>0</v>
      </c>
      <c r="BL131" s="521">
        <f t="shared" si="48"/>
        <v>0</v>
      </c>
      <c r="BM131" s="521">
        <f t="shared" si="48"/>
        <v>0</v>
      </c>
      <c r="BN131" s="521">
        <f t="shared" si="48"/>
        <v>0</v>
      </c>
      <c r="BO131" s="521">
        <f t="shared" si="48"/>
        <v>0</v>
      </c>
      <c r="BP131" s="521">
        <f t="shared" si="48"/>
        <v>0</v>
      </c>
      <c r="BQ131" s="521">
        <f t="shared" si="48"/>
        <v>0</v>
      </c>
      <c r="BR131" s="521">
        <f t="shared" si="48"/>
        <v>0</v>
      </c>
      <c r="BS131" s="521">
        <f t="shared" si="48"/>
        <v>0</v>
      </c>
      <c r="BT131" s="521">
        <f t="shared" si="48"/>
        <v>0</v>
      </c>
      <c r="BU131" s="521">
        <f t="shared" si="48"/>
        <v>0</v>
      </c>
      <c r="BV131" s="521">
        <f t="shared" si="48"/>
        <v>0</v>
      </c>
      <c r="BW131" s="521">
        <f t="shared" si="48"/>
        <v>0</v>
      </c>
      <c r="BX131" s="521" t="e">
        <f t="shared" si="48"/>
        <v>#NUM!</v>
      </c>
      <c r="BY131" s="268"/>
      <c r="BZ131" s="268"/>
      <c r="CA131" s="268"/>
      <c r="CB131" s="268"/>
      <c r="CC131" s="268"/>
      <c r="CD131" s="268"/>
      <c r="CE131" s="268"/>
      <c r="CF131" s="268"/>
      <c r="CG131" s="268"/>
      <c r="CH131" s="268"/>
      <c r="CI131" s="268"/>
      <c r="CJ131" s="268"/>
      <c r="CK131" s="268"/>
      <c r="CL131" s="268"/>
      <c r="CM131" s="268"/>
      <c r="CN131" s="268"/>
      <c r="CO131" s="268"/>
      <c r="CP131" s="268"/>
      <c r="CQ131" s="268"/>
      <c r="CR131" s="268"/>
      <c r="CS131" s="268"/>
      <c r="CT131" s="268"/>
      <c r="CU131" s="268"/>
      <c r="CV131" s="268"/>
      <c r="CW131" s="268"/>
      <c r="CX131" s="268"/>
      <c r="CY131" s="268"/>
      <c r="CZ131" s="268"/>
      <c r="DA131" s="268"/>
      <c r="DB131" s="268"/>
      <c r="DC131" s="268"/>
      <c r="DD131" s="268"/>
      <c r="DE131" s="268"/>
      <c r="DF131" s="268"/>
      <c r="DG131" s="268"/>
      <c r="DH131" s="268"/>
      <c r="DI131" s="268"/>
      <c r="DJ131" s="268"/>
      <c r="DK131" s="268"/>
      <c r="DL131" s="268"/>
      <c r="DM131" s="268"/>
      <c r="DN131" s="268"/>
      <c r="DO131" s="268"/>
      <c r="DP131" s="268"/>
      <c r="DQ131" s="268"/>
      <c r="DR131" s="268"/>
      <c r="DS131" s="268"/>
      <c r="DT131" s="268"/>
      <c r="DU131" s="268"/>
      <c r="DV131" s="268"/>
      <c r="DW131" s="344"/>
      <c r="DX131" s="344"/>
      <c r="DY131" s="344"/>
      <c r="DZ131" s="344"/>
      <c r="EA131" s="344"/>
      <c r="EB131" s="344"/>
      <c r="EC131" s="344"/>
      <c r="ED131" s="344"/>
      <c r="EE131" s="344"/>
      <c r="EF131" s="344"/>
      <c r="EG131" s="344"/>
      <c r="EH131" s="344"/>
    </row>
    <row r="132" spans="1:138">
      <c r="A132" s="268"/>
      <c r="B132" s="342"/>
      <c r="C132" s="340"/>
      <c r="D132" s="522" t="s">
        <v>343</v>
      </c>
      <c r="E132" s="526">
        <f>E131</f>
        <v>0</v>
      </c>
      <c r="F132" s="526">
        <f t="shared" ref="F132:BX132" si="49">E132+F131</f>
        <v>0</v>
      </c>
      <c r="G132" s="526">
        <f t="shared" si="49"/>
        <v>0</v>
      </c>
      <c r="H132" s="526">
        <f t="shared" si="49"/>
        <v>0</v>
      </c>
      <c r="I132" s="526">
        <f t="shared" si="49"/>
        <v>0</v>
      </c>
      <c r="J132" s="526">
        <f t="shared" si="49"/>
        <v>0</v>
      </c>
      <c r="K132" s="526">
        <f t="shared" si="49"/>
        <v>0</v>
      </c>
      <c r="L132" s="526">
        <f t="shared" si="49"/>
        <v>0</v>
      </c>
      <c r="M132" s="526">
        <f t="shared" si="49"/>
        <v>0</v>
      </c>
      <c r="N132" s="526">
        <f t="shared" si="49"/>
        <v>0</v>
      </c>
      <c r="O132" s="526">
        <f t="shared" si="49"/>
        <v>0</v>
      </c>
      <c r="P132" s="526">
        <f t="shared" si="49"/>
        <v>0</v>
      </c>
      <c r="Q132" s="526">
        <f t="shared" si="49"/>
        <v>0</v>
      </c>
      <c r="R132" s="526">
        <f t="shared" si="49"/>
        <v>0</v>
      </c>
      <c r="S132" s="526">
        <f t="shared" si="49"/>
        <v>0</v>
      </c>
      <c r="T132" s="526">
        <f t="shared" si="49"/>
        <v>0</v>
      </c>
      <c r="U132" s="526">
        <f t="shared" si="49"/>
        <v>-25000000</v>
      </c>
      <c r="V132" s="526">
        <f t="shared" si="49"/>
        <v>-45147457</v>
      </c>
      <c r="W132" s="526">
        <f t="shared" si="49"/>
        <v>-46147457</v>
      </c>
      <c r="X132" s="526">
        <f t="shared" si="49"/>
        <v>-48147457</v>
      </c>
      <c r="Y132" s="526">
        <f t="shared" si="49"/>
        <v>-57647457</v>
      </c>
      <c r="Z132" s="526">
        <f t="shared" si="49"/>
        <v>-63647457</v>
      </c>
      <c r="AA132" s="526">
        <f t="shared" si="49"/>
        <v>-63647457</v>
      </c>
      <c r="AB132" s="526">
        <f t="shared" si="49"/>
        <v>-63647457</v>
      </c>
      <c r="AC132" s="526">
        <f t="shared" si="49"/>
        <v>-63647457</v>
      </c>
      <c r="AD132" s="526">
        <f t="shared" si="49"/>
        <v>-63647457</v>
      </c>
      <c r="AE132" s="526">
        <f t="shared" si="49"/>
        <v>-63647457</v>
      </c>
      <c r="AF132" s="526">
        <f t="shared" si="49"/>
        <v>-63647457</v>
      </c>
      <c r="AG132" s="526">
        <f t="shared" si="49"/>
        <v>-63647457</v>
      </c>
      <c r="AH132" s="526">
        <f t="shared" si="49"/>
        <v>-63647457</v>
      </c>
      <c r="AI132" s="526">
        <f t="shared" si="49"/>
        <v>42500533.980475962</v>
      </c>
      <c r="AJ132" s="526">
        <f t="shared" si="49"/>
        <v>42500533.980475962</v>
      </c>
      <c r="AK132" s="526">
        <f t="shared" si="49"/>
        <v>42500533.980475962</v>
      </c>
      <c r="AL132" s="526">
        <f t="shared" si="49"/>
        <v>42500533.980475962</v>
      </c>
      <c r="AM132" s="526">
        <f t="shared" si="49"/>
        <v>42500533.980475962</v>
      </c>
      <c r="AN132" s="526">
        <f t="shared" si="49"/>
        <v>42500533.980475962</v>
      </c>
      <c r="AO132" s="526">
        <f t="shared" si="49"/>
        <v>42500533.980475962</v>
      </c>
      <c r="AP132" s="526">
        <f t="shared" si="49"/>
        <v>42500533.980475962</v>
      </c>
      <c r="AQ132" s="526">
        <f t="shared" si="49"/>
        <v>42500533.980475962</v>
      </c>
      <c r="AR132" s="526">
        <f t="shared" si="49"/>
        <v>42500533.980475962</v>
      </c>
      <c r="AS132" s="526">
        <f t="shared" si="49"/>
        <v>42500533.980475962</v>
      </c>
      <c r="AT132" s="526">
        <f t="shared" si="49"/>
        <v>42500533.980475962</v>
      </c>
      <c r="AU132" s="526">
        <f t="shared" si="49"/>
        <v>42500533.980475962</v>
      </c>
      <c r="AV132" s="526">
        <f t="shared" si="49"/>
        <v>42500533.980475962</v>
      </c>
      <c r="AW132" s="526">
        <f t="shared" si="49"/>
        <v>42500533.980475962</v>
      </c>
      <c r="AX132" s="526">
        <f t="shared" si="49"/>
        <v>42500533.980475962</v>
      </c>
      <c r="AY132" s="526">
        <f t="shared" si="49"/>
        <v>42500533.980475962</v>
      </c>
      <c r="AZ132" s="526">
        <f t="shared" si="49"/>
        <v>42500533.980475962</v>
      </c>
      <c r="BA132" s="526">
        <f t="shared" si="49"/>
        <v>42500533.980475962</v>
      </c>
      <c r="BB132" s="526">
        <f t="shared" si="49"/>
        <v>42500533.980475962</v>
      </c>
      <c r="BC132" s="526">
        <f t="shared" si="49"/>
        <v>42500533.980475962</v>
      </c>
      <c r="BD132" s="526">
        <f t="shared" si="49"/>
        <v>42500533.980475962</v>
      </c>
      <c r="BE132" s="526">
        <f t="shared" si="49"/>
        <v>42500533.980475962</v>
      </c>
      <c r="BF132" s="526">
        <f t="shared" si="49"/>
        <v>42500533.980475962</v>
      </c>
      <c r="BG132" s="526">
        <f t="shared" si="49"/>
        <v>42500533.980475962</v>
      </c>
      <c r="BH132" s="526">
        <f t="shared" si="49"/>
        <v>42500533.980475962</v>
      </c>
      <c r="BI132" s="526">
        <f t="shared" si="49"/>
        <v>42500533.980475962</v>
      </c>
      <c r="BJ132" s="526">
        <f t="shared" si="49"/>
        <v>42500533.980475962</v>
      </c>
      <c r="BK132" s="526">
        <f t="shared" si="49"/>
        <v>42500533.980475962</v>
      </c>
      <c r="BL132" s="526">
        <f t="shared" si="49"/>
        <v>42500533.980475962</v>
      </c>
      <c r="BM132" s="526">
        <f t="shared" si="49"/>
        <v>42500533.980475962</v>
      </c>
      <c r="BN132" s="526">
        <f t="shared" si="49"/>
        <v>42500533.980475962</v>
      </c>
      <c r="BO132" s="526">
        <f t="shared" si="49"/>
        <v>42500533.980475962</v>
      </c>
      <c r="BP132" s="526">
        <f t="shared" si="49"/>
        <v>42500533.980475962</v>
      </c>
      <c r="BQ132" s="526">
        <f t="shared" si="49"/>
        <v>42500533.980475962</v>
      </c>
      <c r="BR132" s="526">
        <f t="shared" si="49"/>
        <v>42500533.980475962</v>
      </c>
      <c r="BS132" s="526">
        <f t="shared" si="49"/>
        <v>42500533.980475962</v>
      </c>
      <c r="BT132" s="526">
        <f t="shared" si="49"/>
        <v>42500533.980475962</v>
      </c>
      <c r="BU132" s="526">
        <f t="shared" si="49"/>
        <v>42500533.980475962</v>
      </c>
      <c r="BV132" s="526">
        <f t="shared" si="49"/>
        <v>42500533.980475962</v>
      </c>
      <c r="BW132" s="526">
        <f t="shared" si="49"/>
        <v>42500533.980475962</v>
      </c>
      <c r="BX132" s="526" t="e">
        <f t="shared" si="49"/>
        <v>#NUM!</v>
      </c>
      <c r="BY132" s="268"/>
      <c r="BZ132" s="268"/>
      <c r="CA132" s="268"/>
      <c r="CB132" s="268"/>
      <c r="CC132" s="268"/>
      <c r="CD132" s="268"/>
      <c r="CE132" s="268"/>
      <c r="CF132" s="268"/>
      <c r="CG132" s="268"/>
      <c r="CH132" s="268"/>
      <c r="CI132" s="268"/>
      <c r="CJ132" s="268"/>
      <c r="CK132" s="268"/>
      <c r="CL132" s="268"/>
      <c r="CM132" s="268"/>
      <c r="CN132" s="268"/>
      <c r="CO132" s="268"/>
      <c r="CP132" s="268"/>
      <c r="CQ132" s="268"/>
      <c r="CR132" s="268"/>
      <c r="CS132" s="268"/>
      <c r="CT132" s="268"/>
      <c r="CU132" s="268"/>
      <c r="CV132" s="268"/>
      <c r="CW132" s="268"/>
      <c r="CX132" s="268"/>
      <c r="CY132" s="268"/>
      <c r="CZ132" s="268"/>
      <c r="DA132" s="268"/>
      <c r="DB132" s="268"/>
      <c r="DC132" s="268"/>
      <c r="DD132" s="268"/>
      <c r="DE132" s="268"/>
      <c r="DF132" s="268"/>
      <c r="DG132" s="268"/>
      <c r="DH132" s="268"/>
      <c r="DI132" s="268"/>
      <c r="DJ132" s="268"/>
      <c r="DK132" s="268"/>
      <c r="DL132" s="268"/>
      <c r="DM132" s="268"/>
      <c r="DN132" s="268"/>
      <c r="DO132" s="268"/>
      <c r="DP132" s="268"/>
      <c r="DQ132" s="268"/>
      <c r="DR132" s="268"/>
      <c r="DS132" s="268"/>
      <c r="DT132" s="268"/>
      <c r="DU132" s="268"/>
      <c r="DV132" s="268"/>
      <c r="DW132" s="344"/>
      <c r="DX132" s="344"/>
      <c r="DY132" s="344"/>
      <c r="DZ132" s="344"/>
      <c r="EA132" s="344"/>
      <c r="EB132" s="344"/>
      <c r="EC132" s="344"/>
      <c r="ED132" s="344"/>
      <c r="EE132" s="344"/>
      <c r="EF132" s="344"/>
      <c r="EG132" s="344"/>
      <c r="EH132" s="344"/>
    </row>
    <row r="133" spans="1:138">
      <c r="A133" s="268"/>
      <c r="B133" s="342"/>
      <c r="C133" s="517" t="s">
        <v>329</v>
      </c>
      <c r="D133" s="522">
        <f>IRR(U131:AJ131)*12</f>
        <v>0.49909564009224017</v>
      </c>
      <c r="E133" s="268"/>
      <c r="F133" s="268"/>
      <c r="G133" s="268"/>
      <c r="H133" s="268"/>
      <c r="I133" s="268"/>
      <c r="J133" s="268"/>
      <c r="K133" s="268"/>
      <c r="L133" s="268"/>
      <c r="M133" s="268"/>
      <c r="N133" s="268"/>
      <c r="O133" s="268"/>
      <c r="P133" s="268"/>
      <c r="Q133" s="268"/>
      <c r="R133" s="268"/>
      <c r="S133" s="268"/>
      <c r="T133" s="268"/>
      <c r="U133" s="268"/>
      <c r="V133" s="268"/>
      <c r="W133" s="268"/>
      <c r="X133" s="268"/>
      <c r="Y133" s="268"/>
      <c r="Z133" s="268"/>
      <c r="AA133" s="268"/>
      <c r="AB133" s="268"/>
      <c r="AC133" s="268"/>
      <c r="AD133" s="268"/>
      <c r="AE133" s="268"/>
      <c r="AF133" s="268"/>
      <c r="AG133" s="268"/>
      <c r="AH133" s="268"/>
      <c r="AI133" s="268"/>
      <c r="AJ133" s="268"/>
      <c r="AK133" s="268"/>
      <c r="AL133" s="268"/>
      <c r="AM133" s="268"/>
      <c r="AN133" s="268"/>
      <c r="AO133" s="268"/>
      <c r="AP133" s="268"/>
      <c r="AQ133" s="268"/>
      <c r="AR133" s="268"/>
      <c r="AS133" s="268"/>
      <c r="AT133" s="268"/>
      <c r="AU133" s="268"/>
      <c r="AV133" s="268"/>
      <c r="AW133" s="268"/>
      <c r="AX133" s="268"/>
      <c r="AY133" s="268"/>
      <c r="AZ133" s="268"/>
      <c r="BA133" s="268"/>
      <c r="BB133" s="268"/>
      <c r="BC133" s="268"/>
      <c r="BD133" s="268"/>
      <c r="BE133" s="268"/>
      <c r="BF133" s="268"/>
      <c r="BG133" s="268"/>
      <c r="BH133" s="268"/>
      <c r="BI133" s="268"/>
      <c r="BJ133" s="268"/>
      <c r="BK133" s="268"/>
      <c r="BL133" s="268"/>
      <c r="BM133" s="268"/>
      <c r="BN133" s="268"/>
      <c r="BO133" s="268"/>
      <c r="BP133" s="268"/>
      <c r="BQ133" s="268"/>
      <c r="BR133" s="268"/>
      <c r="BS133" s="268"/>
      <c r="BT133" s="268"/>
      <c r="BU133" s="268"/>
      <c r="BV133" s="268"/>
      <c r="BW133" s="268"/>
      <c r="BX133" s="268"/>
      <c r="BY133" s="268"/>
      <c r="BZ133" s="268"/>
      <c r="CA133" s="268"/>
      <c r="CB133" s="268"/>
      <c r="CC133" s="268"/>
      <c r="CD133" s="268"/>
      <c r="CE133" s="268"/>
      <c r="CF133" s="268"/>
      <c r="CG133" s="268"/>
      <c r="CH133" s="268"/>
      <c r="CI133" s="268"/>
      <c r="CJ133" s="268"/>
      <c r="CK133" s="268"/>
      <c r="CL133" s="268"/>
      <c r="CM133" s="268"/>
      <c r="CN133" s="268"/>
      <c r="CO133" s="268"/>
      <c r="CP133" s="268"/>
      <c r="CQ133" s="268"/>
      <c r="CR133" s="268"/>
      <c r="CS133" s="268"/>
      <c r="CT133" s="268"/>
      <c r="CU133" s="268"/>
      <c r="CV133" s="268"/>
      <c r="CW133" s="268"/>
      <c r="CX133" s="268"/>
      <c r="CY133" s="268"/>
      <c r="CZ133" s="268"/>
      <c r="DA133" s="268"/>
      <c r="DB133" s="268"/>
      <c r="DC133" s="268"/>
      <c r="DD133" s="268"/>
      <c r="DE133" s="268"/>
      <c r="DF133" s="268"/>
      <c r="DG133" s="268"/>
      <c r="DH133" s="268"/>
      <c r="DI133" s="268"/>
      <c r="DJ133" s="268"/>
      <c r="DK133" s="268"/>
      <c r="DL133" s="268"/>
      <c r="DM133" s="268"/>
      <c r="DN133" s="268"/>
      <c r="DO133" s="268"/>
      <c r="DP133" s="268"/>
      <c r="DQ133" s="268"/>
      <c r="DR133" s="268"/>
      <c r="DS133" s="268"/>
      <c r="DT133" s="268"/>
      <c r="DU133" s="268"/>
      <c r="DV133" s="268"/>
      <c r="DW133" s="344"/>
      <c r="DX133" s="344"/>
      <c r="DY133" s="344"/>
      <c r="DZ133" s="344"/>
      <c r="EA133" s="344"/>
      <c r="EB133" s="344"/>
      <c r="EC133" s="344"/>
      <c r="ED133" s="344"/>
      <c r="EE133" s="344"/>
      <c r="EF133" s="344"/>
      <c r="EG133" s="344"/>
      <c r="EH133" s="344"/>
    </row>
    <row r="134" spans="1:138">
      <c r="A134" s="268"/>
      <c r="B134" s="342"/>
      <c r="C134" s="523" t="s">
        <v>337</v>
      </c>
      <c r="D134" s="524">
        <f>BY6</f>
        <v>50000000</v>
      </c>
      <c r="E134" s="268"/>
      <c r="F134" s="268"/>
      <c r="G134" s="268"/>
      <c r="H134" s="268"/>
      <c r="I134" s="268"/>
      <c r="J134" s="268"/>
      <c r="K134" s="268"/>
      <c r="L134" s="268"/>
      <c r="M134" s="268"/>
      <c r="N134" s="268"/>
      <c r="O134" s="268"/>
      <c r="P134" s="268"/>
      <c r="Q134" s="268"/>
      <c r="R134" s="268"/>
      <c r="S134" s="268"/>
      <c r="T134" s="268"/>
      <c r="U134" s="268"/>
      <c r="V134" s="268"/>
      <c r="W134" s="268"/>
      <c r="X134" s="268"/>
      <c r="Y134" s="268"/>
      <c r="Z134" s="268"/>
      <c r="AA134" s="268"/>
      <c r="AB134" s="268"/>
      <c r="AC134" s="268"/>
      <c r="AD134" s="268"/>
      <c r="AE134" s="268"/>
      <c r="AF134" s="268"/>
      <c r="AG134" s="268"/>
      <c r="AH134" s="268"/>
      <c r="AI134" s="268"/>
      <c r="AJ134" s="268"/>
      <c r="AK134" s="268"/>
      <c r="AL134" s="268"/>
      <c r="AM134" s="268"/>
      <c r="AN134" s="268"/>
      <c r="AO134" s="268"/>
      <c r="AP134" s="268"/>
      <c r="AQ134" s="268"/>
      <c r="AR134" s="268"/>
      <c r="AS134" s="268"/>
      <c r="AT134" s="268"/>
      <c r="AU134" s="268"/>
      <c r="AV134" s="268"/>
      <c r="AW134" s="268"/>
      <c r="AX134" s="268"/>
      <c r="AY134" s="268"/>
      <c r="AZ134" s="268"/>
      <c r="BA134" s="268"/>
      <c r="BB134" s="268"/>
      <c r="BC134" s="268"/>
      <c r="BD134" s="268"/>
      <c r="BE134" s="268"/>
      <c r="BF134" s="268"/>
      <c r="BG134" s="268"/>
      <c r="BH134" s="268"/>
      <c r="BI134" s="268"/>
      <c r="BJ134" s="268"/>
      <c r="BK134" s="268"/>
      <c r="BL134" s="268"/>
      <c r="BM134" s="268"/>
      <c r="BN134" s="268"/>
      <c r="BO134" s="268"/>
      <c r="BP134" s="268"/>
      <c r="BQ134" s="268"/>
      <c r="BR134" s="268"/>
      <c r="BS134" s="268"/>
      <c r="BT134" s="268"/>
      <c r="BU134" s="268"/>
      <c r="BV134" s="268"/>
      <c r="BW134" s="268"/>
      <c r="BX134" s="268"/>
      <c r="BY134" s="268"/>
      <c r="BZ134" s="268"/>
      <c r="CA134" s="268"/>
      <c r="CB134" s="268"/>
      <c r="CC134" s="268"/>
      <c r="CD134" s="268"/>
      <c r="CE134" s="268"/>
      <c r="CF134" s="268"/>
      <c r="CG134" s="268"/>
      <c r="CH134" s="268"/>
      <c r="CI134" s="268"/>
      <c r="CJ134" s="268"/>
      <c r="CK134" s="268"/>
      <c r="CL134" s="268"/>
      <c r="CM134" s="268"/>
      <c r="CN134" s="268"/>
      <c r="CO134" s="268"/>
      <c r="CP134" s="268"/>
      <c r="CQ134" s="268"/>
      <c r="CR134" s="268"/>
      <c r="CS134" s="268"/>
      <c r="CT134" s="268"/>
      <c r="CU134" s="268"/>
      <c r="CV134" s="268"/>
      <c r="CW134" s="268"/>
      <c r="CX134" s="268"/>
      <c r="CY134" s="268"/>
      <c r="CZ134" s="268"/>
      <c r="DA134" s="268"/>
      <c r="DB134" s="268"/>
      <c r="DC134" s="268"/>
      <c r="DD134" s="268"/>
      <c r="DE134" s="268"/>
      <c r="DF134" s="268"/>
      <c r="DG134" s="268"/>
      <c r="DH134" s="268"/>
      <c r="DI134" s="268"/>
      <c r="DJ134" s="268"/>
      <c r="DK134" s="268"/>
      <c r="DL134" s="268"/>
      <c r="DM134" s="268"/>
      <c r="DN134" s="268"/>
      <c r="DO134" s="268"/>
      <c r="DP134" s="268"/>
      <c r="DQ134" s="268"/>
      <c r="DR134" s="268"/>
      <c r="DS134" s="268"/>
      <c r="DT134" s="268"/>
      <c r="DU134" s="268"/>
      <c r="DV134" s="268"/>
      <c r="DW134" s="344"/>
      <c r="DX134" s="344"/>
      <c r="DY134" s="344"/>
      <c r="DZ134" s="344"/>
      <c r="EA134" s="344"/>
      <c r="EB134" s="344"/>
      <c r="EC134" s="344"/>
      <c r="ED134" s="344"/>
      <c r="EE134" s="344"/>
      <c r="EF134" s="344"/>
      <c r="EG134" s="344"/>
      <c r="EH134" s="344"/>
    </row>
    <row r="135" spans="1:138">
      <c r="A135" s="268"/>
      <c r="B135" s="342"/>
      <c r="C135" s="523" t="s">
        <v>344</v>
      </c>
      <c r="D135" s="524">
        <f>-V127</f>
        <v>13647457</v>
      </c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8"/>
      <c r="T135" s="268"/>
      <c r="U135" s="268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268"/>
      <c r="AG135" s="268"/>
      <c r="AH135" s="268"/>
      <c r="AI135" s="268"/>
      <c r="AJ135" s="268"/>
      <c r="AK135" s="268"/>
      <c r="AL135" s="268"/>
      <c r="AM135" s="268"/>
      <c r="AN135" s="268"/>
      <c r="AO135" s="268"/>
      <c r="AP135" s="268"/>
      <c r="AQ135" s="268"/>
      <c r="AR135" s="268"/>
      <c r="AS135" s="268"/>
      <c r="AT135" s="268"/>
      <c r="AU135" s="268"/>
      <c r="AV135" s="268"/>
      <c r="AW135" s="268"/>
      <c r="AX135" s="268"/>
      <c r="AY135" s="268"/>
      <c r="AZ135" s="268"/>
      <c r="BA135" s="268"/>
      <c r="BB135" s="268"/>
      <c r="BC135" s="268"/>
      <c r="BD135" s="268"/>
      <c r="BE135" s="268"/>
      <c r="BF135" s="268"/>
      <c r="BG135" s="268"/>
      <c r="BH135" s="268"/>
      <c r="BI135" s="268"/>
      <c r="BJ135" s="268"/>
      <c r="BK135" s="268"/>
      <c r="BL135" s="268"/>
      <c r="BM135" s="268"/>
      <c r="BN135" s="268"/>
      <c r="BO135" s="268"/>
      <c r="BP135" s="268"/>
      <c r="BQ135" s="268"/>
      <c r="BR135" s="268"/>
      <c r="BS135" s="268"/>
      <c r="BT135" s="268"/>
      <c r="BU135" s="268"/>
      <c r="BV135" s="268"/>
      <c r="BW135" s="268"/>
      <c r="BX135" s="268"/>
      <c r="BY135" s="268"/>
      <c r="BZ135" s="268"/>
      <c r="CA135" s="268"/>
      <c r="CB135" s="268"/>
      <c r="CC135" s="268"/>
      <c r="CD135" s="268"/>
      <c r="CE135" s="268"/>
      <c r="CF135" s="268"/>
      <c r="CG135" s="268"/>
      <c r="CH135" s="268"/>
      <c r="CI135" s="268"/>
      <c r="CJ135" s="268"/>
      <c r="CK135" s="268"/>
      <c r="CL135" s="268"/>
      <c r="CM135" s="268"/>
      <c r="CN135" s="268"/>
      <c r="CO135" s="268"/>
      <c r="CP135" s="268"/>
      <c r="CQ135" s="268"/>
      <c r="CR135" s="268"/>
      <c r="CS135" s="268"/>
      <c r="CT135" s="268"/>
      <c r="CU135" s="268"/>
      <c r="CV135" s="268"/>
      <c r="CW135" s="268"/>
      <c r="CX135" s="268"/>
      <c r="CY135" s="268"/>
      <c r="CZ135" s="268"/>
      <c r="DA135" s="268"/>
      <c r="DB135" s="268"/>
      <c r="DC135" s="268"/>
      <c r="DD135" s="268"/>
      <c r="DE135" s="268"/>
      <c r="DF135" s="268"/>
      <c r="DG135" s="268"/>
      <c r="DH135" s="268"/>
      <c r="DI135" s="268"/>
      <c r="DJ135" s="268"/>
      <c r="DK135" s="268"/>
      <c r="DL135" s="268"/>
      <c r="DM135" s="268"/>
      <c r="DN135" s="268"/>
      <c r="DO135" s="268"/>
      <c r="DP135" s="268"/>
      <c r="DQ135" s="268"/>
      <c r="DR135" s="268"/>
      <c r="DS135" s="268"/>
      <c r="DT135" s="268"/>
      <c r="DU135" s="268"/>
      <c r="DV135" s="268"/>
      <c r="DW135" s="344"/>
      <c r="DX135" s="344"/>
      <c r="DY135" s="344"/>
      <c r="DZ135" s="344"/>
      <c r="EA135" s="344"/>
      <c r="EB135" s="344"/>
      <c r="EC135" s="344"/>
      <c r="ED135" s="344"/>
      <c r="EE135" s="344"/>
      <c r="EF135" s="344"/>
      <c r="EG135" s="344"/>
      <c r="EH135" s="344"/>
    </row>
    <row r="136" spans="1:138">
      <c r="A136" s="268"/>
      <c r="B136" s="342"/>
      <c r="C136" s="517" t="s">
        <v>338</v>
      </c>
      <c r="D136" s="525">
        <f>D135+D134</f>
        <v>63647457</v>
      </c>
      <c r="E136" s="268"/>
      <c r="F136" s="268"/>
      <c r="G136" s="268"/>
      <c r="H136" s="268"/>
      <c r="I136" s="268"/>
      <c r="J136" s="268"/>
      <c r="K136" s="268"/>
      <c r="L136" s="268"/>
      <c r="M136" s="268"/>
      <c r="N136" s="268"/>
      <c r="O136" s="268"/>
      <c r="P136" s="268"/>
      <c r="Q136" s="268"/>
      <c r="R136" s="268"/>
      <c r="S136" s="268"/>
      <c r="T136" s="268"/>
      <c r="U136" s="268"/>
      <c r="V136" s="268"/>
      <c r="W136" s="268"/>
      <c r="X136" s="268"/>
      <c r="Y136" s="268"/>
      <c r="Z136" s="268"/>
      <c r="AA136" s="268"/>
      <c r="AB136" s="268"/>
      <c r="AC136" s="268"/>
      <c r="AD136" s="268"/>
      <c r="AE136" s="268"/>
      <c r="AF136" s="268"/>
      <c r="AG136" s="268"/>
      <c r="AH136" s="268"/>
      <c r="AI136" s="268"/>
      <c r="AJ136" s="268"/>
      <c r="AK136" s="268"/>
      <c r="AL136" s="268"/>
      <c r="AM136" s="268"/>
      <c r="AN136" s="268"/>
      <c r="AO136" s="268"/>
      <c r="AP136" s="268"/>
      <c r="AQ136" s="268"/>
      <c r="AR136" s="268"/>
      <c r="AS136" s="268"/>
      <c r="AT136" s="268"/>
      <c r="AU136" s="268"/>
      <c r="AV136" s="268"/>
      <c r="AW136" s="268"/>
      <c r="AX136" s="268"/>
      <c r="AY136" s="268"/>
      <c r="AZ136" s="268"/>
      <c r="BA136" s="268"/>
      <c r="BB136" s="268"/>
      <c r="BC136" s="268"/>
      <c r="BD136" s="268"/>
      <c r="BE136" s="268"/>
      <c r="BF136" s="268"/>
      <c r="BG136" s="268"/>
      <c r="BH136" s="268"/>
      <c r="BI136" s="268"/>
      <c r="BJ136" s="268"/>
      <c r="BK136" s="268"/>
      <c r="BL136" s="268"/>
      <c r="BM136" s="268"/>
      <c r="BN136" s="268"/>
      <c r="BO136" s="268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8"/>
      <c r="CA136" s="268"/>
      <c r="CB136" s="268"/>
      <c r="CC136" s="268"/>
      <c r="CD136" s="268"/>
      <c r="CE136" s="268"/>
      <c r="CF136" s="268"/>
      <c r="CG136" s="268"/>
      <c r="CH136" s="268"/>
      <c r="CI136" s="268"/>
      <c r="CJ136" s="268"/>
      <c r="CK136" s="268"/>
      <c r="CL136" s="268"/>
      <c r="CM136" s="268"/>
      <c r="CN136" s="268"/>
      <c r="CO136" s="268"/>
      <c r="CP136" s="268"/>
      <c r="CQ136" s="268"/>
      <c r="CR136" s="268"/>
      <c r="CS136" s="268"/>
      <c r="CT136" s="268"/>
      <c r="CU136" s="268"/>
      <c r="CV136" s="268"/>
      <c r="CW136" s="268"/>
      <c r="CX136" s="268"/>
      <c r="CY136" s="268"/>
      <c r="CZ136" s="268"/>
      <c r="DA136" s="268"/>
      <c r="DB136" s="268"/>
      <c r="DC136" s="268"/>
      <c r="DD136" s="268"/>
      <c r="DE136" s="268"/>
      <c r="DF136" s="268"/>
      <c r="DG136" s="268"/>
      <c r="DH136" s="268"/>
      <c r="DI136" s="268"/>
      <c r="DJ136" s="268"/>
      <c r="DK136" s="268"/>
      <c r="DL136" s="268"/>
      <c r="DM136" s="268"/>
      <c r="DN136" s="268"/>
      <c r="DO136" s="268"/>
      <c r="DP136" s="268"/>
      <c r="DQ136" s="268"/>
      <c r="DR136" s="268"/>
      <c r="DS136" s="268"/>
      <c r="DT136" s="268"/>
      <c r="DU136" s="268"/>
      <c r="DV136" s="268"/>
      <c r="DW136" s="344"/>
      <c r="DX136" s="344"/>
      <c r="DY136" s="344"/>
      <c r="DZ136" s="344"/>
      <c r="EA136" s="344"/>
      <c r="EB136" s="344"/>
      <c r="EC136" s="344"/>
      <c r="ED136" s="344"/>
      <c r="EE136" s="344"/>
      <c r="EF136" s="344"/>
      <c r="EG136" s="344"/>
      <c r="EH136" s="344"/>
    </row>
    <row r="137" spans="1:138">
      <c r="A137" s="268"/>
      <c r="B137" s="342"/>
      <c r="C137" s="517" t="s">
        <v>339</v>
      </c>
      <c r="D137" s="525">
        <f>AI129+AI128</f>
        <v>42500533.980475955</v>
      </c>
      <c r="E137" s="268"/>
      <c r="F137" s="268"/>
      <c r="G137" s="268"/>
      <c r="H137" s="268"/>
      <c r="I137" s="268"/>
      <c r="J137" s="268"/>
      <c r="K137" s="268"/>
      <c r="L137" s="268"/>
      <c r="M137" s="268"/>
      <c r="N137" s="268"/>
      <c r="O137" s="268"/>
      <c r="P137" s="268"/>
      <c r="Q137" s="268"/>
      <c r="R137" s="268"/>
      <c r="S137" s="268"/>
      <c r="T137" s="268"/>
      <c r="U137" s="268"/>
      <c r="V137" s="268"/>
      <c r="W137" s="268"/>
      <c r="X137" s="268"/>
      <c r="Y137" s="268"/>
      <c r="Z137" s="268"/>
      <c r="AA137" s="268"/>
      <c r="AB137" s="268"/>
      <c r="AC137" s="268"/>
      <c r="AD137" s="268"/>
      <c r="AE137" s="268"/>
      <c r="AF137" s="268"/>
      <c r="AG137" s="268"/>
      <c r="AH137" s="268"/>
      <c r="AI137" s="268"/>
      <c r="AJ137" s="268"/>
      <c r="AK137" s="268"/>
      <c r="AL137" s="268"/>
      <c r="AM137" s="268"/>
      <c r="AN137" s="268"/>
      <c r="AO137" s="268"/>
      <c r="AP137" s="268"/>
      <c r="AQ137" s="268"/>
      <c r="AR137" s="268"/>
      <c r="AS137" s="268"/>
      <c r="AT137" s="268"/>
      <c r="AU137" s="268"/>
      <c r="AV137" s="268"/>
      <c r="AW137" s="268"/>
      <c r="AX137" s="268"/>
      <c r="AY137" s="268"/>
      <c r="AZ137" s="268"/>
      <c r="BA137" s="268"/>
      <c r="BB137" s="268"/>
      <c r="BC137" s="268"/>
      <c r="BD137" s="268"/>
      <c r="BE137" s="268"/>
      <c r="BF137" s="268"/>
      <c r="BG137" s="268"/>
      <c r="BH137" s="268"/>
      <c r="BI137" s="268"/>
      <c r="BJ137" s="268"/>
      <c r="BK137" s="268"/>
      <c r="BL137" s="268"/>
      <c r="BM137" s="268"/>
      <c r="BN137" s="268"/>
      <c r="BO137" s="268"/>
      <c r="BP137" s="268"/>
      <c r="BQ137" s="268"/>
      <c r="BR137" s="268"/>
      <c r="BS137" s="268"/>
      <c r="BT137" s="268"/>
      <c r="BU137" s="268"/>
      <c r="BV137" s="268"/>
      <c r="BW137" s="268"/>
      <c r="BX137" s="268"/>
      <c r="BY137" s="268"/>
      <c r="BZ137" s="268"/>
      <c r="CA137" s="268"/>
      <c r="CB137" s="268"/>
      <c r="CC137" s="268"/>
      <c r="CD137" s="268"/>
      <c r="CE137" s="268"/>
      <c r="CF137" s="268"/>
      <c r="CG137" s="268"/>
      <c r="CH137" s="268"/>
      <c r="CI137" s="268"/>
      <c r="CJ137" s="268"/>
      <c r="CK137" s="268"/>
      <c r="CL137" s="268"/>
      <c r="CM137" s="268"/>
      <c r="CN137" s="268"/>
      <c r="CO137" s="268"/>
      <c r="CP137" s="268"/>
      <c r="CQ137" s="268"/>
      <c r="CR137" s="268"/>
      <c r="CS137" s="268"/>
      <c r="CT137" s="268"/>
      <c r="CU137" s="268"/>
      <c r="CV137" s="268"/>
      <c r="CW137" s="268"/>
      <c r="CX137" s="268"/>
      <c r="CY137" s="268"/>
      <c r="CZ137" s="268"/>
      <c r="DA137" s="268"/>
      <c r="DB137" s="268"/>
      <c r="DC137" s="268"/>
      <c r="DD137" s="268"/>
      <c r="DE137" s="268"/>
      <c r="DF137" s="268"/>
      <c r="DG137" s="268"/>
      <c r="DH137" s="268"/>
      <c r="DI137" s="268"/>
      <c r="DJ137" s="268"/>
      <c r="DK137" s="268"/>
      <c r="DL137" s="268"/>
      <c r="DM137" s="268"/>
      <c r="DN137" s="268"/>
      <c r="DO137" s="268"/>
      <c r="DP137" s="268"/>
      <c r="DQ137" s="268"/>
      <c r="DR137" s="268"/>
      <c r="DS137" s="268"/>
      <c r="DT137" s="268"/>
      <c r="DU137" s="268"/>
      <c r="DV137" s="268"/>
      <c r="DW137" s="344"/>
      <c r="DX137" s="344"/>
      <c r="DY137" s="344"/>
      <c r="DZ137" s="344"/>
      <c r="EA137" s="344"/>
      <c r="EB137" s="344"/>
      <c r="EC137" s="344"/>
      <c r="ED137" s="344"/>
      <c r="EE137" s="344"/>
      <c r="EF137" s="344"/>
      <c r="EG137" s="344"/>
      <c r="EH137" s="344"/>
    </row>
    <row r="138" spans="1:138">
      <c r="A138" s="268"/>
      <c r="B138" s="342"/>
      <c r="C138" s="517" t="s">
        <v>340</v>
      </c>
      <c r="D138" s="522">
        <f>D137/D136</f>
        <v>0.66774912908894313</v>
      </c>
      <c r="E138" s="268"/>
      <c r="F138" s="268"/>
      <c r="G138" s="268"/>
      <c r="H138" s="268"/>
      <c r="I138" s="268"/>
      <c r="J138" s="268"/>
      <c r="K138" s="268"/>
      <c r="L138" s="268"/>
      <c r="M138" s="268"/>
      <c r="N138" s="268"/>
      <c r="O138" s="268"/>
      <c r="P138" s="268"/>
      <c r="Q138" s="268"/>
      <c r="R138" s="268"/>
      <c r="S138" s="268"/>
      <c r="T138" s="268"/>
      <c r="U138" s="268"/>
      <c r="V138" s="268"/>
      <c r="W138" s="268"/>
      <c r="X138" s="268"/>
      <c r="Y138" s="268"/>
      <c r="Z138" s="268"/>
      <c r="AA138" s="268"/>
      <c r="AB138" s="268"/>
      <c r="AC138" s="268"/>
      <c r="AD138" s="268"/>
      <c r="AE138" s="268"/>
      <c r="AF138" s="268"/>
      <c r="AG138" s="268"/>
      <c r="AH138" s="268"/>
      <c r="AI138" s="268"/>
      <c r="AJ138" s="268"/>
      <c r="AK138" s="268"/>
      <c r="AL138" s="268"/>
      <c r="AM138" s="268"/>
      <c r="AN138" s="268"/>
      <c r="AO138" s="268"/>
      <c r="AP138" s="268"/>
      <c r="AQ138" s="268"/>
      <c r="AR138" s="268"/>
      <c r="AS138" s="268"/>
      <c r="AT138" s="268"/>
      <c r="AU138" s="268"/>
      <c r="AV138" s="268"/>
      <c r="AW138" s="268"/>
      <c r="AX138" s="268"/>
      <c r="AY138" s="268"/>
      <c r="AZ138" s="268"/>
      <c r="BA138" s="268"/>
      <c r="BB138" s="268"/>
      <c r="BC138" s="268"/>
      <c r="BD138" s="268"/>
      <c r="BE138" s="268"/>
      <c r="BF138" s="268"/>
      <c r="BG138" s="268"/>
      <c r="BH138" s="268"/>
      <c r="BI138" s="268"/>
      <c r="BJ138" s="268"/>
      <c r="BK138" s="268"/>
      <c r="BL138" s="268"/>
      <c r="BM138" s="268"/>
      <c r="BN138" s="268"/>
      <c r="BO138" s="268"/>
      <c r="BP138" s="268"/>
      <c r="BQ138" s="268"/>
      <c r="BR138" s="268"/>
      <c r="BS138" s="268"/>
      <c r="BT138" s="268"/>
      <c r="BU138" s="268"/>
      <c r="BV138" s="268"/>
      <c r="BW138" s="268"/>
      <c r="BX138" s="268"/>
      <c r="BY138" s="268"/>
      <c r="BZ138" s="268"/>
      <c r="CA138" s="268"/>
      <c r="CB138" s="268"/>
      <c r="CC138" s="268"/>
      <c r="CD138" s="268"/>
      <c r="CE138" s="268"/>
      <c r="CF138" s="268"/>
      <c r="CG138" s="268"/>
      <c r="CH138" s="268"/>
      <c r="CI138" s="268"/>
      <c r="CJ138" s="268"/>
      <c r="CK138" s="268"/>
      <c r="CL138" s="268"/>
      <c r="CM138" s="268"/>
      <c r="CN138" s="268"/>
      <c r="CO138" s="268"/>
      <c r="CP138" s="268"/>
      <c r="CQ138" s="268"/>
      <c r="CR138" s="268"/>
      <c r="CS138" s="268"/>
      <c r="CT138" s="268"/>
      <c r="CU138" s="268"/>
      <c r="CV138" s="268"/>
      <c r="CW138" s="268"/>
      <c r="CX138" s="268"/>
      <c r="CY138" s="268"/>
      <c r="CZ138" s="268"/>
      <c r="DA138" s="268"/>
      <c r="DB138" s="268"/>
      <c r="DC138" s="268"/>
      <c r="DD138" s="268"/>
      <c r="DE138" s="268"/>
      <c r="DF138" s="268"/>
      <c r="DG138" s="268"/>
      <c r="DH138" s="268"/>
      <c r="DI138" s="268"/>
      <c r="DJ138" s="268"/>
      <c r="DK138" s="268"/>
      <c r="DL138" s="268"/>
      <c r="DM138" s="268"/>
      <c r="DN138" s="268"/>
      <c r="DO138" s="268"/>
      <c r="DP138" s="268"/>
      <c r="DQ138" s="268"/>
      <c r="DR138" s="268"/>
      <c r="DS138" s="268"/>
      <c r="DT138" s="268"/>
      <c r="DU138" s="268"/>
      <c r="DV138" s="268"/>
      <c r="DW138" s="344"/>
      <c r="DX138" s="344"/>
      <c r="DY138" s="344"/>
      <c r="DZ138" s="344"/>
      <c r="EA138" s="344"/>
      <c r="EB138" s="344"/>
      <c r="EC138" s="344"/>
      <c r="ED138" s="344"/>
      <c r="EE138" s="344"/>
      <c r="EF138" s="344"/>
      <c r="EG138" s="344"/>
      <c r="EH138" s="344"/>
    </row>
    <row r="139" spans="1:138">
      <c r="A139" s="268"/>
      <c r="B139" s="342"/>
      <c r="E139" s="268"/>
      <c r="F139" s="268"/>
      <c r="G139" s="268"/>
      <c r="H139" s="268"/>
      <c r="I139" s="268"/>
      <c r="J139" s="268"/>
      <c r="K139" s="268"/>
      <c r="L139" s="268"/>
      <c r="M139" s="268"/>
      <c r="N139" s="268"/>
      <c r="O139" s="268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68"/>
      <c r="AA139" s="268"/>
      <c r="AB139" s="268"/>
      <c r="AC139" s="268"/>
      <c r="AD139" s="268"/>
      <c r="AE139" s="268"/>
      <c r="AF139" s="268"/>
      <c r="AG139" s="268"/>
      <c r="AH139" s="268"/>
      <c r="AI139" s="268"/>
      <c r="AJ139" s="268"/>
      <c r="AK139" s="268"/>
      <c r="AL139" s="268"/>
      <c r="AM139" s="268"/>
      <c r="AN139" s="268"/>
      <c r="AO139" s="268"/>
      <c r="AP139" s="268"/>
      <c r="AQ139" s="268"/>
      <c r="AR139" s="268"/>
      <c r="AS139" s="268"/>
      <c r="AT139" s="268"/>
      <c r="AU139" s="268"/>
      <c r="AV139" s="268"/>
      <c r="AW139" s="268"/>
      <c r="AX139" s="268"/>
      <c r="AY139" s="268"/>
      <c r="AZ139" s="268"/>
      <c r="BA139" s="268"/>
      <c r="BB139" s="268"/>
      <c r="BC139" s="268"/>
      <c r="BD139" s="268"/>
      <c r="BE139" s="268"/>
      <c r="BF139" s="268"/>
      <c r="BG139" s="268"/>
      <c r="BH139" s="268"/>
      <c r="BI139" s="268"/>
      <c r="BJ139" s="268"/>
      <c r="BK139" s="268"/>
      <c r="BL139" s="268"/>
      <c r="BM139" s="268"/>
      <c r="BN139" s="268"/>
      <c r="BO139" s="268"/>
      <c r="BP139" s="268"/>
      <c r="BQ139" s="268"/>
      <c r="BR139" s="268"/>
      <c r="BS139" s="268"/>
      <c r="BT139" s="268"/>
      <c r="BU139" s="268"/>
      <c r="BV139" s="268"/>
      <c r="BW139" s="268"/>
      <c r="BX139" s="268"/>
      <c r="BY139" s="268"/>
      <c r="BZ139" s="268"/>
      <c r="CA139" s="268"/>
      <c r="CB139" s="268"/>
      <c r="CC139" s="268"/>
      <c r="CD139" s="268"/>
      <c r="CE139" s="268"/>
      <c r="CF139" s="268"/>
      <c r="CG139" s="268"/>
      <c r="CH139" s="268"/>
      <c r="CI139" s="268"/>
      <c r="CJ139" s="268"/>
      <c r="CK139" s="268"/>
      <c r="CL139" s="268"/>
      <c r="CM139" s="268"/>
      <c r="CN139" s="268"/>
      <c r="CO139" s="268"/>
      <c r="CP139" s="268"/>
      <c r="CQ139" s="268"/>
      <c r="CR139" s="268"/>
      <c r="CS139" s="268"/>
      <c r="CT139" s="268"/>
      <c r="CU139" s="268"/>
      <c r="CV139" s="268"/>
      <c r="CW139" s="268"/>
      <c r="CX139" s="268"/>
      <c r="CY139" s="268"/>
      <c r="CZ139" s="268"/>
      <c r="DA139" s="268"/>
      <c r="DB139" s="268"/>
      <c r="DC139" s="268"/>
      <c r="DD139" s="268"/>
      <c r="DE139" s="268"/>
      <c r="DF139" s="268"/>
      <c r="DG139" s="268"/>
      <c r="DH139" s="268"/>
      <c r="DI139" s="268"/>
      <c r="DJ139" s="268"/>
      <c r="DK139" s="268"/>
      <c r="DL139" s="268"/>
      <c r="DM139" s="268"/>
      <c r="DN139" s="268"/>
      <c r="DO139" s="268"/>
      <c r="DP139" s="268"/>
      <c r="DQ139" s="268"/>
      <c r="DR139" s="268"/>
      <c r="DS139" s="268"/>
      <c r="DT139" s="268"/>
      <c r="DU139" s="268"/>
      <c r="DV139" s="268"/>
      <c r="DW139" s="344"/>
      <c r="DX139" s="344"/>
      <c r="DY139" s="344"/>
      <c r="DZ139" s="344"/>
      <c r="EA139" s="344"/>
      <c r="EB139" s="344"/>
      <c r="EC139" s="344"/>
      <c r="ED139" s="344"/>
      <c r="EE139" s="344"/>
      <c r="EF139" s="344"/>
      <c r="EG139" s="344"/>
      <c r="EH139" s="344"/>
    </row>
    <row r="140" spans="1:138">
      <c r="A140" s="268"/>
      <c r="B140" s="342"/>
      <c r="E140" s="268"/>
      <c r="F140" s="268"/>
      <c r="G140" s="268"/>
      <c r="H140" s="268"/>
      <c r="I140" s="268"/>
      <c r="J140" s="268"/>
      <c r="K140" s="268"/>
      <c r="L140" s="268"/>
      <c r="M140" s="268"/>
      <c r="N140" s="268"/>
      <c r="O140" s="268"/>
      <c r="P140" s="268"/>
      <c r="Q140" s="268"/>
      <c r="R140" s="268"/>
      <c r="S140" s="268"/>
      <c r="T140" s="268"/>
      <c r="U140" s="268"/>
      <c r="V140" s="268"/>
      <c r="W140" s="268"/>
      <c r="X140" s="268"/>
      <c r="Y140" s="268"/>
      <c r="Z140" s="268"/>
      <c r="AA140" s="268"/>
      <c r="AB140" s="268"/>
      <c r="AC140" s="268"/>
      <c r="AD140" s="268"/>
      <c r="AE140" s="268"/>
      <c r="AF140" s="268"/>
      <c r="AG140" s="268"/>
      <c r="AH140" s="268"/>
      <c r="AI140" s="268"/>
      <c r="AJ140" s="268"/>
      <c r="AK140" s="268"/>
      <c r="AL140" s="268"/>
      <c r="AM140" s="268"/>
      <c r="AN140" s="268"/>
      <c r="AO140" s="268"/>
      <c r="AP140" s="268"/>
      <c r="AQ140" s="268"/>
      <c r="AR140" s="268"/>
      <c r="AS140" s="268"/>
      <c r="AT140" s="268"/>
      <c r="AU140" s="268"/>
      <c r="AV140" s="268"/>
      <c r="AW140" s="268"/>
      <c r="AX140" s="268"/>
      <c r="AY140" s="268"/>
      <c r="AZ140" s="268"/>
      <c r="BA140" s="268"/>
      <c r="BB140" s="268"/>
      <c r="BC140" s="268"/>
      <c r="BD140" s="268"/>
      <c r="BE140" s="268"/>
      <c r="BF140" s="268"/>
      <c r="BG140" s="268"/>
      <c r="BH140" s="268"/>
      <c r="BI140" s="268"/>
      <c r="BJ140" s="268"/>
      <c r="BK140" s="268"/>
      <c r="BL140" s="268"/>
      <c r="BM140" s="268"/>
      <c r="BN140" s="268"/>
      <c r="BO140" s="268"/>
      <c r="BP140" s="268"/>
      <c r="BQ140" s="268"/>
      <c r="BR140" s="268"/>
      <c r="BS140" s="268"/>
      <c r="BT140" s="268"/>
      <c r="BU140" s="268"/>
      <c r="BV140" s="268"/>
      <c r="BW140" s="268"/>
      <c r="BX140" s="268"/>
      <c r="BY140" s="268"/>
      <c r="BZ140" s="268"/>
      <c r="CA140" s="268"/>
      <c r="CB140" s="268"/>
      <c r="CC140" s="268"/>
      <c r="CD140" s="268"/>
      <c r="CE140" s="268"/>
      <c r="CF140" s="268"/>
      <c r="CG140" s="268"/>
      <c r="CH140" s="268"/>
      <c r="CI140" s="268"/>
      <c r="CJ140" s="268"/>
      <c r="CK140" s="268"/>
      <c r="CL140" s="268"/>
      <c r="CM140" s="268"/>
      <c r="CN140" s="268"/>
      <c r="CO140" s="268"/>
      <c r="CP140" s="268"/>
      <c r="CQ140" s="268"/>
      <c r="CR140" s="268"/>
      <c r="CS140" s="268"/>
      <c r="CT140" s="268"/>
      <c r="CU140" s="268"/>
      <c r="CV140" s="268"/>
      <c r="CW140" s="268"/>
      <c r="CX140" s="268"/>
      <c r="CY140" s="268"/>
      <c r="CZ140" s="268"/>
      <c r="DA140" s="268"/>
      <c r="DB140" s="268"/>
      <c r="DC140" s="268"/>
      <c r="DD140" s="268"/>
      <c r="DE140" s="268"/>
      <c r="DF140" s="268"/>
      <c r="DG140" s="268"/>
      <c r="DH140" s="268"/>
      <c r="DI140" s="268"/>
      <c r="DJ140" s="268"/>
      <c r="DK140" s="268"/>
      <c r="DL140" s="268"/>
      <c r="DM140" s="268"/>
      <c r="DN140" s="268"/>
      <c r="DO140" s="268"/>
      <c r="DP140" s="268"/>
      <c r="DQ140" s="268"/>
      <c r="DR140" s="268"/>
      <c r="DS140" s="268"/>
      <c r="DT140" s="268"/>
      <c r="DU140" s="268"/>
      <c r="DV140" s="268"/>
      <c r="DW140" s="344"/>
      <c r="DX140" s="344"/>
      <c r="DY140" s="344"/>
      <c r="DZ140" s="344"/>
      <c r="EA140" s="344"/>
      <c r="EB140" s="344"/>
      <c r="EC140" s="344"/>
      <c r="ED140" s="344"/>
      <c r="EE140" s="344"/>
      <c r="EF140" s="344"/>
      <c r="EG140" s="344"/>
      <c r="EH140" s="344"/>
    </row>
    <row r="141" spans="1:138" hidden="1">
      <c r="A141" s="268"/>
      <c r="B141" s="342"/>
      <c r="E141" s="268"/>
      <c r="F141" s="268"/>
      <c r="G141" s="268"/>
      <c r="H141" s="268"/>
      <c r="I141" s="268"/>
      <c r="J141" s="268"/>
      <c r="K141" s="268"/>
      <c r="L141" s="268"/>
      <c r="M141" s="268"/>
      <c r="N141" s="268"/>
      <c r="O141" s="268"/>
      <c r="P141" s="268"/>
      <c r="Q141" s="268"/>
      <c r="R141" s="268"/>
      <c r="S141" s="268"/>
      <c r="T141" s="268"/>
      <c r="U141" s="268"/>
      <c r="V141" s="268"/>
      <c r="W141" s="268"/>
      <c r="X141" s="268"/>
      <c r="Y141" s="268"/>
      <c r="Z141" s="268"/>
      <c r="AA141" s="268"/>
      <c r="AB141" s="268"/>
      <c r="AC141" s="268"/>
      <c r="AD141" s="268"/>
      <c r="AE141" s="268"/>
      <c r="AF141" s="268"/>
      <c r="AG141" s="268"/>
      <c r="AH141" s="268"/>
      <c r="AI141" s="268"/>
      <c r="AJ141" s="268"/>
      <c r="AK141" s="268"/>
      <c r="AL141" s="268"/>
      <c r="AM141" s="268"/>
      <c r="AN141" s="268"/>
      <c r="AO141" s="268"/>
      <c r="AP141" s="268"/>
      <c r="AQ141" s="268"/>
      <c r="AR141" s="268"/>
      <c r="AS141" s="268"/>
      <c r="AT141" s="268"/>
      <c r="AU141" s="268"/>
      <c r="AV141" s="268"/>
      <c r="AW141" s="268"/>
      <c r="AX141" s="268"/>
      <c r="AY141" s="268"/>
      <c r="AZ141" s="268"/>
      <c r="BA141" s="268"/>
      <c r="BB141" s="268"/>
      <c r="BC141" s="268"/>
      <c r="BD141" s="268"/>
      <c r="BE141" s="268"/>
      <c r="BF141" s="268"/>
      <c r="BG141" s="268"/>
      <c r="BH141" s="268"/>
      <c r="BI141" s="268"/>
      <c r="BJ141" s="268"/>
      <c r="BK141" s="268"/>
      <c r="BL141" s="268"/>
      <c r="BM141" s="268"/>
      <c r="BN141" s="268"/>
      <c r="BO141" s="268"/>
      <c r="BP141" s="268"/>
      <c r="BQ141" s="268"/>
      <c r="BR141" s="268"/>
      <c r="BS141" s="268"/>
      <c r="BT141" s="268"/>
      <c r="BU141" s="268"/>
      <c r="BV141" s="268"/>
      <c r="BW141" s="268"/>
      <c r="BX141" s="268"/>
      <c r="BY141" s="268"/>
      <c r="BZ141" s="268"/>
      <c r="CA141" s="268"/>
      <c r="CB141" s="268"/>
      <c r="CC141" s="268"/>
      <c r="CD141" s="268"/>
      <c r="CE141" s="268"/>
      <c r="CF141" s="268"/>
      <c r="CG141" s="268"/>
      <c r="CH141" s="268"/>
      <c r="CI141" s="268"/>
      <c r="CJ141" s="268"/>
      <c r="CK141" s="268"/>
      <c r="CL141" s="268"/>
      <c r="CM141" s="268"/>
      <c r="CN141" s="268"/>
      <c r="CO141" s="268"/>
      <c r="CP141" s="268"/>
      <c r="CQ141" s="268"/>
      <c r="CR141" s="268"/>
      <c r="CS141" s="268"/>
      <c r="CT141" s="268"/>
      <c r="CU141" s="268"/>
      <c r="CV141" s="268"/>
      <c r="CW141" s="268"/>
      <c r="CX141" s="268"/>
      <c r="CY141" s="268"/>
      <c r="CZ141" s="268"/>
      <c r="DA141" s="268"/>
      <c r="DB141" s="268"/>
      <c r="DC141" s="268"/>
      <c r="DD141" s="268"/>
      <c r="DE141" s="268"/>
      <c r="DF141" s="268"/>
      <c r="DG141" s="268"/>
      <c r="DH141" s="268"/>
      <c r="DI141" s="268"/>
      <c r="DJ141" s="268"/>
      <c r="DK141" s="268"/>
      <c r="DL141" s="268"/>
      <c r="DM141" s="268"/>
      <c r="DN141" s="268"/>
      <c r="DO141" s="268"/>
      <c r="DP141" s="268"/>
      <c r="DQ141" s="268"/>
      <c r="DR141" s="268"/>
      <c r="DS141" s="268"/>
      <c r="DT141" s="268"/>
      <c r="DU141" s="268"/>
      <c r="DV141" s="268"/>
      <c r="DW141" s="344"/>
      <c r="DX141" s="344"/>
      <c r="DY141" s="344"/>
      <c r="DZ141" s="344"/>
      <c r="EA141" s="344"/>
      <c r="EB141" s="344"/>
      <c r="EC141" s="344"/>
      <c r="ED141" s="344"/>
      <c r="EE141" s="344"/>
      <c r="EF141" s="344"/>
      <c r="EG141" s="344"/>
      <c r="EH141" s="344"/>
    </row>
    <row r="142" spans="1:138" hidden="1">
      <c r="A142" s="268"/>
      <c r="B142" s="342"/>
      <c r="C142" s="339" t="s">
        <v>345</v>
      </c>
      <c r="D142" s="515"/>
      <c r="E142" s="515">
        <f t="shared" ref="E142:AF142" si="50">-(E7+E92)</f>
        <v>0</v>
      </c>
      <c r="F142" s="515">
        <f t="shared" si="50"/>
        <v>0</v>
      </c>
      <c r="G142" s="515">
        <f t="shared" si="50"/>
        <v>0</v>
      </c>
      <c r="H142" s="515">
        <f t="shared" si="50"/>
        <v>0</v>
      </c>
      <c r="I142" s="515">
        <f t="shared" si="50"/>
        <v>0</v>
      </c>
      <c r="J142" s="515">
        <f t="shared" si="50"/>
        <v>0</v>
      </c>
      <c r="K142" s="515">
        <f t="shared" si="50"/>
        <v>0</v>
      </c>
      <c r="L142" s="515">
        <f t="shared" si="50"/>
        <v>0</v>
      </c>
      <c r="M142" s="515">
        <f t="shared" si="50"/>
        <v>0</v>
      </c>
      <c r="N142" s="515">
        <f t="shared" si="50"/>
        <v>0</v>
      </c>
      <c r="O142" s="515">
        <f t="shared" si="50"/>
        <v>0</v>
      </c>
      <c r="P142" s="515">
        <f t="shared" si="50"/>
        <v>0</v>
      </c>
      <c r="Q142" s="515">
        <f t="shared" si="50"/>
        <v>0</v>
      </c>
      <c r="R142" s="515">
        <f t="shared" si="50"/>
        <v>0</v>
      </c>
      <c r="S142" s="515">
        <f t="shared" si="50"/>
        <v>0</v>
      </c>
      <c r="T142" s="515">
        <f t="shared" si="50"/>
        <v>0</v>
      </c>
      <c r="U142" s="515">
        <f t="shared" si="50"/>
        <v>0</v>
      </c>
      <c r="V142" s="515">
        <f t="shared" si="50"/>
        <v>0</v>
      </c>
      <c r="W142" s="515">
        <f t="shared" si="50"/>
        <v>0</v>
      </c>
      <c r="X142" s="515">
        <f t="shared" si="50"/>
        <v>0</v>
      </c>
      <c r="Y142" s="515">
        <f t="shared" si="50"/>
        <v>0</v>
      </c>
      <c r="Z142" s="515">
        <f t="shared" si="50"/>
        <v>0</v>
      </c>
      <c r="AA142" s="515">
        <f t="shared" si="50"/>
        <v>0</v>
      </c>
      <c r="AB142" s="515">
        <f t="shared" si="50"/>
        <v>0</v>
      </c>
      <c r="AC142" s="515">
        <f t="shared" si="50"/>
        <v>0</v>
      </c>
      <c r="AD142" s="515">
        <f t="shared" si="50"/>
        <v>0</v>
      </c>
      <c r="AE142" s="515">
        <f t="shared" si="50"/>
        <v>0</v>
      </c>
      <c r="AF142" s="515">
        <f t="shared" si="50"/>
        <v>0</v>
      </c>
      <c r="AG142" s="515"/>
      <c r="AH142" s="515"/>
      <c r="AI142" s="515"/>
      <c r="AJ142" s="515"/>
      <c r="AK142" s="515">
        <f t="shared" ref="AK142:BX142" si="51">-(AK7+AK92)</f>
        <v>0</v>
      </c>
      <c r="AL142" s="515">
        <f t="shared" si="51"/>
        <v>0</v>
      </c>
      <c r="AM142" s="515">
        <f t="shared" si="51"/>
        <v>0</v>
      </c>
      <c r="AN142" s="515">
        <f t="shared" si="51"/>
        <v>0</v>
      </c>
      <c r="AO142" s="515">
        <f t="shared" si="51"/>
        <v>0</v>
      </c>
      <c r="AP142" s="515">
        <f t="shared" si="51"/>
        <v>0</v>
      </c>
      <c r="AQ142" s="515">
        <f t="shared" si="51"/>
        <v>0</v>
      </c>
      <c r="AR142" s="515">
        <f t="shared" si="51"/>
        <v>0</v>
      </c>
      <c r="AS142" s="515">
        <f t="shared" si="51"/>
        <v>0</v>
      </c>
      <c r="AT142" s="515">
        <f t="shared" si="51"/>
        <v>0</v>
      </c>
      <c r="AU142" s="515">
        <f t="shared" si="51"/>
        <v>0</v>
      </c>
      <c r="AV142" s="515">
        <f t="shared" si="51"/>
        <v>0</v>
      </c>
      <c r="AW142" s="515">
        <f t="shared" si="51"/>
        <v>0</v>
      </c>
      <c r="AX142" s="515">
        <f t="shared" si="51"/>
        <v>0</v>
      </c>
      <c r="AY142" s="515">
        <f t="shared" si="51"/>
        <v>0</v>
      </c>
      <c r="AZ142" s="515">
        <f t="shared" si="51"/>
        <v>0</v>
      </c>
      <c r="BA142" s="515">
        <f t="shared" si="51"/>
        <v>0</v>
      </c>
      <c r="BB142" s="515">
        <f t="shared" si="51"/>
        <v>0</v>
      </c>
      <c r="BC142" s="515">
        <f t="shared" si="51"/>
        <v>0</v>
      </c>
      <c r="BD142" s="515">
        <f t="shared" si="51"/>
        <v>0</v>
      </c>
      <c r="BE142" s="515">
        <f t="shared" si="51"/>
        <v>0</v>
      </c>
      <c r="BF142" s="515">
        <f t="shared" si="51"/>
        <v>0</v>
      </c>
      <c r="BG142" s="515">
        <f t="shared" si="51"/>
        <v>0</v>
      </c>
      <c r="BH142" s="515">
        <f t="shared" si="51"/>
        <v>0</v>
      </c>
      <c r="BI142" s="515">
        <f t="shared" si="51"/>
        <v>0</v>
      </c>
      <c r="BJ142" s="515">
        <f t="shared" si="51"/>
        <v>0</v>
      </c>
      <c r="BK142" s="515">
        <f t="shared" si="51"/>
        <v>0</v>
      </c>
      <c r="BL142" s="515">
        <f t="shared" si="51"/>
        <v>0</v>
      </c>
      <c r="BM142" s="515">
        <f t="shared" si="51"/>
        <v>0</v>
      </c>
      <c r="BN142" s="515">
        <f t="shared" si="51"/>
        <v>0</v>
      </c>
      <c r="BO142" s="515">
        <f t="shared" si="51"/>
        <v>0</v>
      </c>
      <c r="BP142" s="515">
        <f t="shared" si="51"/>
        <v>0</v>
      </c>
      <c r="BQ142" s="515">
        <f t="shared" si="51"/>
        <v>0</v>
      </c>
      <c r="BR142" s="515">
        <f t="shared" si="51"/>
        <v>0</v>
      </c>
      <c r="BS142" s="515">
        <f t="shared" si="51"/>
        <v>0</v>
      </c>
      <c r="BT142" s="515">
        <f t="shared" si="51"/>
        <v>0</v>
      </c>
      <c r="BU142" s="515">
        <f t="shared" si="51"/>
        <v>0</v>
      </c>
      <c r="BV142" s="515">
        <f t="shared" si="51"/>
        <v>0</v>
      </c>
      <c r="BW142" s="515">
        <f t="shared" si="51"/>
        <v>0</v>
      </c>
      <c r="BX142" s="515">
        <f t="shared" si="51"/>
        <v>0</v>
      </c>
      <c r="BY142" s="268"/>
      <c r="BZ142" s="268"/>
      <c r="CA142" s="268"/>
      <c r="CB142" s="268"/>
      <c r="CC142" s="268"/>
      <c r="CD142" s="268"/>
      <c r="CE142" s="268"/>
      <c r="CF142" s="268"/>
      <c r="CG142" s="268"/>
      <c r="CH142" s="268"/>
      <c r="CI142" s="268"/>
      <c r="CJ142" s="268"/>
      <c r="CK142" s="268"/>
      <c r="CL142" s="268"/>
      <c r="CM142" s="268"/>
      <c r="CN142" s="268"/>
      <c r="CO142" s="268"/>
      <c r="CP142" s="268"/>
      <c r="CQ142" s="268"/>
      <c r="CR142" s="268"/>
      <c r="CS142" s="268"/>
      <c r="CT142" s="268"/>
      <c r="CU142" s="268"/>
      <c r="CV142" s="268"/>
      <c r="CW142" s="268"/>
      <c r="CX142" s="268"/>
      <c r="CY142" s="268"/>
      <c r="CZ142" s="268"/>
      <c r="DA142" s="268"/>
      <c r="DB142" s="268"/>
      <c r="DC142" s="268"/>
      <c r="DD142" s="268"/>
      <c r="DE142" s="268"/>
      <c r="DF142" s="268"/>
      <c r="DG142" s="268"/>
      <c r="DH142" s="268"/>
      <c r="DI142" s="268"/>
      <c r="DJ142" s="268"/>
      <c r="DK142" s="268"/>
      <c r="DL142" s="268"/>
      <c r="DM142" s="268"/>
      <c r="DN142" s="268"/>
      <c r="DO142" s="268"/>
      <c r="DP142" s="268"/>
      <c r="DQ142" s="268"/>
      <c r="DR142" s="268"/>
      <c r="DS142" s="268"/>
      <c r="DT142" s="268"/>
      <c r="DU142" s="268"/>
      <c r="DV142" s="268"/>
      <c r="DW142" s="344"/>
      <c r="DX142" s="344"/>
      <c r="DY142" s="344"/>
      <c r="DZ142" s="344"/>
      <c r="EA142" s="344"/>
      <c r="EB142" s="344"/>
      <c r="EC142" s="344"/>
      <c r="ED142" s="344"/>
      <c r="EE142" s="344"/>
      <c r="EF142" s="344"/>
      <c r="EG142" s="344"/>
      <c r="EH142" s="344"/>
    </row>
    <row r="143" spans="1:138" hidden="1">
      <c r="A143" s="268"/>
      <c r="B143" s="342"/>
      <c r="C143" s="339" t="s">
        <v>342</v>
      </c>
      <c r="D143" s="520"/>
      <c r="E143" s="515"/>
      <c r="F143" s="515"/>
      <c r="G143" s="515"/>
      <c r="H143" s="515"/>
      <c r="I143" s="515"/>
      <c r="J143" s="515"/>
      <c r="K143" s="515"/>
      <c r="L143" s="515"/>
      <c r="M143" s="515"/>
      <c r="N143" s="515"/>
      <c r="O143" s="515"/>
      <c r="P143" s="515"/>
      <c r="Q143" s="515"/>
      <c r="R143" s="515"/>
      <c r="S143" s="515"/>
      <c r="T143" s="515"/>
      <c r="U143" s="515"/>
      <c r="V143" s="515"/>
      <c r="W143" s="515"/>
      <c r="X143" s="515"/>
      <c r="Y143" s="515"/>
      <c r="Z143" s="515"/>
      <c r="AA143" s="515"/>
      <c r="AB143" s="515"/>
      <c r="AC143" s="515"/>
      <c r="AD143" s="515"/>
      <c r="AE143" s="515"/>
      <c r="AF143" s="515"/>
      <c r="AG143" s="515"/>
      <c r="AH143" s="515"/>
      <c r="AI143" s="515"/>
      <c r="AJ143" s="515"/>
      <c r="AK143" s="515"/>
      <c r="AL143" s="515"/>
      <c r="AM143" s="515"/>
      <c r="AN143" s="515"/>
      <c r="AO143" s="515"/>
      <c r="AP143" s="515"/>
      <c r="AQ143" s="515"/>
      <c r="AR143" s="515"/>
      <c r="AS143" s="515"/>
      <c r="AT143" s="515"/>
      <c r="AU143" s="515"/>
      <c r="AV143" s="515"/>
      <c r="AW143" s="515"/>
      <c r="AX143" s="515"/>
      <c r="AY143" s="515"/>
      <c r="AZ143" s="515"/>
      <c r="BA143" s="515"/>
      <c r="BB143" s="515"/>
      <c r="BC143" s="515"/>
      <c r="BD143" s="515"/>
      <c r="BE143" s="515"/>
      <c r="BF143" s="515"/>
      <c r="BG143" s="515"/>
      <c r="BH143" s="515"/>
      <c r="BI143" s="515"/>
      <c r="BJ143" s="515"/>
      <c r="BK143" s="515"/>
      <c r="BL143" s="515"/>
      <c r="BM143" s="515"/>
      <c r="BN143" s="515"/>
      <c r="BO143" s="515"/>
      <c r="BP143" s="515"/>
      <c r="BQ143" s="515"/>
      <c r="BR143" s="515"/>
      <c r="BS143" s="515"/>
      <c r="BT143" s="515"/>
      <c r="BU143" s="515"/>
      <c r="BV143" s="515"/>
      <c r="BW143" s="515"/>
      <c r="BX143" s="515"/>
      <c r="BY143" s="268"/>
      <c r="BZ143" s="268"/>
      <c r="CA143" s="268"/>
      <c r="CB143" s="268"/>
      <c r="CC143" s="268"/>
      <c r="CD143" s="268"/>
      <c r="CE143" s="268"/>
      <c r="CF143" s="268"/>
      <c r="CG143" s="268"/>
      <c r="CH143" s="268"/>
      <c r="CI143" s="268"/>
      <c r="CJ143" s="268"/>
      <c r="CK143" s="268"/>
      <c r="CL143" s="268"/>
      <c r="CM143" s="268"/>
      <c r="CN143" s="268"/>
      <c r="CO143" s="268"/>
      <c r="CP143" s="268"/>
      <c r="CQ143" s="268"/>
      <c r="CR143" s="268"/>
      <c r="CS143" s="268"/>
      <c r="CT143" s="268"/>
      <c r="CU143" s="268"/>
      <c r="CV143" s="268"/>
      <c r="CW143" s="268"/>
      <c r="CX143" s="268"/>
      <c r="CY143" s="268"/>
      <c r="CZ143" s="268"/>
      <c r="DA143" s="268"/>
      <c r="DB143" s="268"/>
      <c r="DC143" s="268"/>
      <c r="DD143" s="268"/>
      <c r="DE143" s="268"/>
      <c r="DF143" s="268"/>
      <c r="DG143" s="268"/>
      <c r="DH143" s="268"/>
      <c r="DI143" s="268"/>
      <c r="DJ143" s="268"/>
      <c r="DK143" s="268"/>
      <c r="DL143" s="268"/>
      <c r="DM143" s="268"/>
      <c r="DN143" s="268"/>
      <c r="DO143" s="268"/>
      <c r="DP143" s="268"/>
      <c r="DQ143" s="268"/>
      <c r="DR143" s="268"/>
      <c r="DS143" s="268"/>
      <c r="DT143" s="268"/>
      <c r="DU143" s="268"/>
      <c r="DV143" s="268"/>
      <c r="DW143" s="344"/>
      <c r="DX143" s="344"/>
      <c r="DY143" s="344"/>
      <c r="DZ143" s="344"/>
      <c r="EA143" s="344"/>
      <c r="EB143" s="344"/>
      <c r="EC143" s="344"/>
      <c r="ED143" s="344"/>
      <c r="EE143" s="344"/>
      <c r="EF143" s="344"/>
      <c r="EG143" s="344"/>
      <c r="EH143" s="344"/>
    </row>
    <row r="144" spans="1:138" hidden="1">
      <c r="A144" s="268"/>
      <c r="B144" s="342"/>
      <c r="C144" s="339" t="s">
        <v>333</v>
      </c>
      <c r="D144" s="520"/>
      <c r="E144" s="515">
        <f t="shared" ref="E144:AF144" si="52">-E57</f>
        <v>0</v>
      </c>
      <c r="F144" s="515">
        <f t="shared" si="52"/>
        <v>0</v>
      </c>
      <c r="G144" s="515">
        <f t="shared" si="52"/>
        <v>0</v>
      </c>
      <c r="H144" s="515">
        <f t="shared" si="52"/>
        <v>0</v>
      </c>
      <c r="I144" s="515">
        <f t="shared" si="52"/>
        <v>0</v>
      </c>
      <c r="J144" s="515">
        <f t="shared" si="52"/>
        <v>0</v>
      </c>
      <c r="K144" s="515">
        <f t="shared" si="52"/>
        <v>0</v>
      </c>
      <c r="L144" s="515">
        <f t="shared" si="52"/>
        <v>0</v>
      </c>
      <c r="M144" s="515">
        <f t="shared" si="52"/>
        <v>0</v>
      </c>
      <c r="N144" s="515">
        <f t="shared" si="52"/>
        <v>0</v>
      </c>
      <c r="O144" s="515">
        <f t="shared" si="52"/>
        <v>0</v>
      </c>
      <c r="P144" s="515">
        <f t="shared" si="52"/>
        <v>0</v>
      </c>
      <c r="Q144" s="515">
        <f t="shared" si="52"/>
        <v>0</v>
      </c>
      <c r="R144" s="515">
        <f t="shared" si="52"/>
        <v>0</v>
      </c>
      <c r="S144" s="515">
        <f t="shared" si="52"/>
        <v>0</v>
      </c>
      <c r="T144" s="515">
        <f t="shared" si="52"/>
        <v>0</v>
      </c>
      <c r="U144" s="515">
        <f t="shared" si="52"/>
        <v>0</v>
      </c>
      <c r="V144" s="515">
        <f t="shared" si="52"/>
        <v>0</v>
      </c>
      <c r="W144" s="515">
        <f t="shared" si="52"/>
        <v>0</v>
      </c>
      <c r="X144" s="515">
        <f t="shared" si="52"/>
        <v>0</v>
      </c>
      <c r="Y144" s="515">
        <f t="shared" si="52"/>
        <v>0</v>
      </c>
      <c r="Z144" s="515">
        <f t="shared" si="52"/>
        <v>0</v>
      </c>
      <c r="AA144" s="515">
        <f t="shared" si="52"/>
        <v>0</v>
      </c>
      <c r="AB144" s="515">
        <f t="shared" si="52"/>
        <v>0</v>
      </c>
      <c r="AC144" s="515">
        <f t="shared" si="52"/>
        <v>0</v>
      </c>
      <c r="AD144" s="515">
        <f t="shared" si="52"/>
        <v>0</v>
      </c>
      <c r="AE144" s="515">
        <f t="shared" si="52"/>
        <v>0</v>
      </c>
      <c r="AF144" s="515">
        <f t="shared" si="52"/>
        <v>0</v>
      </c>
      <c r="AG144" s="515"/>
      <c r="AH144" s="515"/>
      <c r="AI144" s="515"/>
      <c r="AJ144" s="515"/>
      <c r="AK144" s="515">
        <f t="shared" ref="AK144:BX144" si="53">-AK57</f>
        <v>0</v>
      </c>
      <c r="AL144" s="515">
        <f t="shared" si="53"/>
        <v>0</v>
      </c>
      <c r="AM144" s="515">
        <f t="shared" si="53"/>
        <v>0</v>
      </c>
      <c r="AN144" s="515">
        <f t="shared" si="53"/>
        <v>0</v>
      </c>
      <c r="AO144" s="515">
        <f t="shared" si="53"/>
        <v>0</v>
      </c>
      <c r="AP144" s="515">
        <f t="shared" si="53"/>
        <v>0</v>
      </c>
      <c r="AQ144" s="515">
        <f t="shared" si="53"/>
        <v>0</v>
      </c>
      <c r="AR144" s="515">
        <f t="shared" si="53"/>
        <v>0</v>
      </c>
      <c r="AS144" s="515">
        <f t="shared" si="53"/>
        <v>0</v>
      </c>
      <c r="AT144" s="515">
        <f t="shared" si="53"/>
        <v>0</v>
      </c>
      <c r="AU144" s="515">
        <f t="shared" si="53"/>
        <v>0</v>
      </c>
      <c r="AV144" s="515">
        <f t="shared" si="53"/>
        <v>0</v>
      </c>
      <c r="AW144" s="515">
        <f t="shared" si="53"/>
        <v>0</v>
      </c>
      <c r="AX144" s="515">
        <f t="shared" si="53"/>
        <v>0</v>
      </c>
      <c r="AY144" s="515">
        <f t="shared" si="53"/>
        <v>0</v>
      </c>
      <c r="AZ144" s="515">
        <f t="shared" si="53"/>
        <v>0</v>
      </c>
      <c r="BA144" s="515">
        <f t="shared" si="53"/>
        <v>0</v>
      </c>
      <c r="BB144" s="515">
        <f t="shared" si="53"/>
        <v>0</v>
      </c>
      <c r="BC144" s="515">
        <f t="shared" si="53"/>
        <v>0</v>
      </c>
      <c r="BD144" s="515">
        <f t="shared" si="53"/>
        <v>0</v>
      </c>
      <c r="BE144" s="515">
        <f t="shared" si="53"/>
        <v>0</v>
      </c>
      <c r="BF144" s="515">
        <f t="shared" si="53"/>
        <v>0</v>
      </c>
      <c r="BG144" s="515">
        <f t="shared" si="53"/>
        <v>0</v>
      </c>
      <c r="BH144" s="515">
        <f t="shared" si="53"/>
        <v>0</v>
      </c>
      <c r="BI144" s="515">
        <f t="shared" si="53"/>
        <v>0</v>
      </c>
      <c r="BJ144" s="515">
        <f t="shared" si="53"/>
        <v>0</v>
      </c>
      <c r="BK144" s="515">
        <f t="shared" si="53"/>
        <v>0</v>
      </c>
      <c r="BL144" s="515">
        <f t="shared" si="53"/>
        <v>0</v>
      </c>
      <c r="BM144" s="515">
        <f t="shared" si="53"/>
        <v>0</v>
      </c>
      <c r="BN144" s="515">
        <f t="shared" si="53"/>
        <v>0</v>
      </c>
      <c r="BO144" s="515">
        <f t="shared" si="53"/>
        <v>0</v>
      </c>
      <c r="BP144" s="515">
        <f t="shared" si="53"/>
        <v>0</v>
      </c>
      <c r="BQ144" s="515">
        <f t="shared" si="53"/>
        <v>0</v>
      </c>
      <c r="BR144" s="515">
        <f t="shared" si="53"/>
        <v>0</v>
      </c>
      <c r="BS144" s="515">
        <f t="shared" si="53"/>
        <v>0</v>
      </c>
      <c r="BT144" s="515">
        <f t="shared" si="53"/>
        <v>0</v>
      </c>
      <c r="BU144" s="515">
        <f t="shared" si="53"/>
        <v>0</v>
      </c>
      <c r="BV144" s="515">
        <f t="shared" si="53"/>
        <v>0</v>
      </c>
      <c r="BW144" s="515">
        <f t="shared" si="53"/>
        <v>0</v>
      </c>
      <c r="BX144" s="515">
        <f t="shared" si="53"/>
        <v>0</v>
      </c>
      <c r="BY144" s="268"/>
      <c r="BZ144" s="268"/>
      <c r="CA144" s="268"/>
      <c r="CB144" s="268"/>
      <c r="CC144" s="268"/>
      <c r="CD144" s="268"/>
      <c r="CE144" s="268"/>
      <c r="CF144" s="268"/>
      <c r="CG144" s="268"/>
      <c r="CH144" s="268"/>
      <c r="CI144" s="268"/>
      <c r="CJ144" s="268"/>
      <c r="CK144" s="268"/>
      <c r="CL144" s="268"/>
      <c r="CM144" s="268"/>
      <c r="CN144" s="268"/>
      <c r="CO144" s="268"/>
      <c r="CP144" s="268"/>
      <c r="CQ144" s="268"/>
      <c r="CR144" s="268"/>
      <c r="CS144" s="268"/>
      <c r="CT144" s="268"/>
      <c r="CU144" s="268"/>
      <c r="CV144" s="268"/>
      <c r="CW144" s="268"/>
      <c r="CX144" s="268"/>
      <c r="CY144" s="268"/>
      <c r="CZ144" s="268"/>
      <c r="DA144" s="268"/>
      <c r="DB144" s="268"/>
      <c r="DC144" s="268"/>
      <c r="DD144" s="268"/>
      <c r="DE144" s="268"/>
      <c r="DF144" s="268"/>
      <c r="DG144" s="268"/>
      <c r="DH144" s="268"/>
      <c r="DI144" s="268"/>
      <c r="DJ144" s="268"/>
      <c r="DK144" s="268"/>
      <c r="DL144" s="268"/>
      <c r="DM144" s="268"/>
      <c r="DN144" s="268"/>
      <c r="DO144" s="268"/>
      <c r="DP144" s="268"/>
      <c r="DQ144" s="268"/>
      <c r="DR144" s="268"/>
      <c r="DS144" s="268"/>
      <c r="DT144" s="268"/>
      <c r="DU144" s="268"/>
      <c r="DV144" s="268"/>
      <c r="DW144" s="344"/>
      <c r="DX144" s="344"/>
      <c r="DY144" s="344"/>
      <c r="DZ144" s="344"/>
      <c r="EA144" s="344"/>
      <c r="EB144" s="344"/>
      <c r="EC144" s="344"/>
      <c r="ED144" s="344"/>
      <c r="EE144" s="344"/>
      <c r="EF144" s="344"/>
      <c r="EG144" s="344"/>
      <c r="EH144" s="344"/>
    </row>
    <row r="145" spans="1:138" hidden="1">
      <c r="A145" s="268"/>
      <c r="B145" s="342"/>
      <c r="C145" s="339" t="s">
        <v>334</v>
      </c>
      <c r="D145" s="520"/>
      <c r="E145" s="515"/>
      <c r="F145" s="515"/>
      <c r="G145" s="515"/>
      <c r="H145" s="515"/>
      <c r="I145" s="515"/>
      <c r="J145" s="515"/>
      <c r="K145" s="515"/>
      <c r="L145" s="515"/>
      <c r="M145" s="515"/>
      <c r="N145" s="515"/>
      <c r="O145" s="515"/>
      <c r="P145" s="515"/>
      <c r="Q145" s="515"/>
      <c r="R145" s="515"/>
      <c r="S145" s="515"/>
      <c r="T145" s="515"/>
      <c r="U145" s="515"/>
      <c r="V145" s="515"/>
      <c r="W145" s="515"/>
      <c r="X145" s="515"/>
      <c r="Y145" s="515"/>
      <c r="Z145" s="515"/>
      <c r="AA145" s="515"/>
      <c r="AB145" s="515"/>
      <c r="AC145" s="515"/>
      <c r="AD145" s="515"/>
      <c r="AE145" s="515"/>
      <c r="AF145" s="515"/>
      <c r="AG145" s="515"/>
      <c r="AH145" s="515"/>
      <c r="AI145" s="515"/>
      <c r="AJ145" s="515"/>
      <c r="AK145" s="515"/>
      <c r="AL145" s="515"/>
      <c r="AM145" s="515"/>
      <c r="AN145" s="515"/>
      <c r="AO145" s="515"/>
      <c r="AP145" s="515"/>
      <c r="AQ145" s="515"/>
      <c r="AR145" s="515"/>
      <c r="AS145" s="515"/>
      <c r="AT145" s="515"/>
      <c r="AU145" s="515"/>
      <c r="AV145" s="515"/>
      <c r="AW145" s="515"/>
      <c r="AX145" s="515"/>
      <c r="AY145" s="515"/>
      <c r="AZ145" s="515"/>
      <c r="BA145" s="515"/>
      <c r="BB145" s="515"/>
      <c r="BC145" s="515"/>
      <c r="BD145" s="515"/>
      <c r="BE145" s="515"/>
      <c r="BF145" s="515"/>
      <c r="BG145" s="515"/>
      <c r="BH145" s="515"/>
      <c r="BI145" s="515"/>
      <c r="BJ145" s="515"/>
      <c r="BK145" s="515"/>
      <c r="BL145" s="515"/>
      <c r="BM145" s="515"/>
      <c r="BN145" s="515"/>
      <c r="BO145" s="515"/>
      <c r="BP145" s="515"/>
      <c r="BQ145" s="515"/>
      <c r="BR145" s="515"/>
      <c r="BS145" s="515"/>
      <c r="BT145" s="515"/>
      <c r="BU145" s="515"/>
      <c r="BV145" s="515"/>
      <c r="BW145" s="515"/>
      <c r="BX145" s="515" t="e">
        <f>IF(D104&gt;0.25,(BX99-BX107)*D146,BX99*D146)</f>
        <v>#NUM!</v>
      </c>
      <c r="BY145" s="268"/>
      <c r="BZ145" s="268"/>
      <c r="CA145" s="268"/>
      <c r="CB145" s="268"/>
      <c r="CC145" s="268"/>
      <c r="CD145" s="268"/>
      <c r="CE145" s="268"/>
      <c r="CF145" s="268"/>
      <c r="CG145" s="268"/>
      <c r="CH145" s="268"/>
      <c r="CI145" s="268"/>
      <c r="CJ145" s="268"/>
      <c r="CK145" s="268"/>
      <c r="CL145" s="268"/>
      <c r="CM145" s="268"/>
      <c r="CN145" s="268"/>
      <c r="CO145" s="268"/>
      <c r="CP145" s="268"/>
      <c r="CQ145" s="268"/>
      <c r="CR145" s="268"/>
      <c r="CS145" s="268"/>
      <c r="CT145" s="268"/>
      <c r="CU145" s="268"/>
      <c r="CV145" s="268"/>
      <c r="CW145" s="268"/>
      <c r="CX145" s="268"/>
      <c r="CY145" s="268"/>
      <c r="CZ145" s="268"/>
      <c r="DA145" s="268"/>
      <c r="DB145" s="268"/>
      <c r="DC145" s="268"/>
      <c r="DD145" s="268"/>
      <c r="DE145" s="268"/>
      <c r="DF145" s="268"/>
      <c r="DG145" s="268"/>
      <c r="DH145" s="268"/>
      <c r="DI145" s="268"/>
      <c r="DJ145" s="268"/>
      <c r="DK145" s="268"/>
      <c r="DL145" s="268"/>
      <c r="DM145" s="268"/>
      <c r="DN145" s="268"/>
      <c r="DO145" s="268"/>
      <c r="DP145" s="268"/>
      <c r="DQ145" s="268"/>
      <c r="DR145" s="268"/>
      <c r="DS145" s="268"/>
      <c r="DT145" s="268"/>
      <c r="DU145" s="268"/>
      <c r="DV145" s="268"/>
      <c r="DW145" s="344"/>
      <c r="DX145" s="344"/>
      <c r="DY145" s="344"/>
      <c r="DZ145" s="344"/>
      <c r="EA145" s="344"/>
      <c r="EB145" s="344"/>
      <c r="EC145" s="344"/>
      <c r="ED145" s="344"/>
      <c r="EE145" s="344"/>
      <c r="EF145" s="344"/>
      <c r="EG145" s="344"/>
      <c r="EH145" s="344"/>
    </row>
    <row r="146" spans="1:138" hidden="1">
      <c r="A146" s="268"/>
      <c r="B146" s="342"/>
      <c r="C146" s="517" t="s">
        <v>335</v>
      </c>
      <c r="D146" s="520">
        <v>1</v>
      </c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  <c r="V146" s="287"/>
      <c r="W146" s="287"/>
      <c r="X146" s="287"/>
      <c r="Y146" s="287"/>
      <c r="Z146" s="287"/>
      <c r="AA146" s="287"/>
      <c r="AB146" s="287"/>
      <c r="AC146" s="287"/>
      <c r="AD146" s="287"/>
      <c r="AE146" s="287"/>
      <c r="AF146" s="287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287"/>
      <c r="AS146" s="287"/>
      <c r="AT146" s="287"/>
      <c r="AU146" s="287"/>
      <c r="AV146" s="287"/>
      <c r="AW146" s="287"/>
      <c r="AX146" s="287"/>
      <c r="AY146" s="287"/>
      <c r="AZ146" s="287"/>
      <c r="BA146" s="287"/>
      <c r="BB146" s="287"/>
      <c r="BC146" s="287"/>
      <c r="BD146" s="287"/>
      <c r="BE146" s="287"/>
      <c r="BF146" s="287"/>
      <c r="BG146" s="287"/>
      <c r="BH146" s="287"/>
      <c r="BI146" s="287"/>
      <c r="BJ146" s="287"/>
      <c r="BK146" s="287"/>
      <c r="BL146" s="287"/>
      <c r="BM146" s="287"/>
      <c r="BN146" s="287"/>
      <c r="BO146" s="287"/>
      <c r="BP146" s="287"/>
      <c r="BQ146" s="287"/>
      <c r="BR146" s="287"/>
      <c r="BS146" s="287"/>
      <c r="BT146" s="287"/>
      <c r="BU146" s="287"/>
      <c r="BV146" s="287"/>
      <c r="BW146" s="287"/>
      <c r="BX146" s="287"/>
      <c r="BY146" s="268"/>
      <c r="BZ146" s="268"/>
      <c r="CA146" s="268"/>
      <c r="CB146" s="268"/>
      <c r="CC146" s="268"/>
      <c r="CD146" s="268"/>
      <c r="CE146" s="268"/>
      <c r="CF146" s="268"/>
      <c r="CG146" s="268"/>
      <c r="CH146" s="268"/>
      <c r="CI146" s="268"/>
      <c r="CJ146" s="268"/>
      <c r="CK146" s="268"/>
      <c r="CL146" s="268"/>
      <c r="CM146" s="268"/>
      <c r="CN146" s="268"/>
      <c r="CO146" s="268"/>
      <c r="CP146" s="268"/>
      <c r="CQ146" s="268"/>
      <c r="CR146" s="268"/>
      <c r="CS146" s="268"/>
      <c r="CT146" s="268"/>
      <c r="CU146" s="268"/>
      <c r="CV146" s="268"/>
      <c r="CW146" s="268"/>
      <c r="CX146" s="268"/>
      <c r="CY146" s="268"/>
      <c r="CZ146" s="268"/>
      <c r="DA146" s="268"/>
      <c r="DB146" s="268"/>
      <c r="DC146" s="268"/>
      <c r="DD146" s="268"/>
      <c r="DE146" s="268"/>
      <c r="DF146" s="268"/>
      <c r="DG146" s="268"/>
      <c r="DH146" s="268"/>
      <c r="DI146" s="268"/>
      <c r="DJ146" s="268"/>
      <c r="DK146" s="268"/>
      <c r="DL146" s="268"/>
      <c r="DM146" s="268"/>
      <c r="DN146" s="268"/>
      <c r="DO146" s="268"/>
      <c r="DP146" s="268"/>
      <c r="DQ146" s="268"/>
      <c r="DR146" s="268"/>
      <c r="DS146" s="268"/>
      <c r="DT146" s="268"/>
      <c r="DU146" s="268"/>
      <c r="DV146" s="268"/>
      <c r="DW146" s="344"/>
      <c r="DX146" s="344"/>
      <c r="DY146" s="344"/>
      <c r="DZ146" s="344"/>
      <c r="EA146" s="344"/>
      <c r="EB146" s="344"/>
      <c r="EC146" s="344"/>
      <c r="ED146" s="344"/>
      <c r="EE146" s="344"/>
      <c r="EF146" s="344"/>
      <c r="EG146" s="344"/>
      <c r="EH146" s="344"/>
    </row>
    <row r="147" spans="1:138" hidden="1">
      <c r="A147" s="268"/>
      <c r="B147" s="342"/>
      <c r="C147" s="339" t="s">
        <v>336</v>
      </c>
      <c r="D147" s="515"/>
      <c r="E147" s="521">
        <f t="shared" ref="E147:AF147" si="54">E142+E143+E144+E145+E146</f>
        <v>0</v>
      </c>
      <c r="F147" s="521">
        <f t="shared" si="54"/>
        <v>0</v>
      </c>
      <c r="G147" s="521">
        <f t="shared" si="54"/>
        <v>0</v>
      </c>
      <c r="H147" s="521">
        <f t="shared" si="54"/>
        <v>0</v>
      </c>
      <c r="I147" s="521">
        <f t="shared" si="54"/>
        <v>0</v>
      </c>
      <c r="J147" s="521">
        <f t="shared" si="54"/>
        <v>0</v>
      </c>
      <c r="K147" s="521">
        <f t="shared" si="54"/>
        <v>0</v>
      </c>
      <c r="L147" s="521">
        <f t="shared" si="54"/>
        <v>0</v>
      </c>
      <c r="M147" s="521">
        <f t="shared" si="54"/>
        <v>0</v>
      </c>
      <c r="N147" s="521">
        <f t="shared" si="54"/>
        <v>0</v>
      </c>
      <c r="O147" s="521">
        <f t="shared" si="54"/>
        <v>0</v>
      </c>
      <c r="P147" s="521">
        <f t="shared" si="54"/>
        <v>0</v>
      </c>
      <c r="Q147" s="521">
        <f t="shared" si="54"/>
        <v>0</v>
      </c>
      <c r="R147" s="521">
        <f t="shared" si="54"/>
        <v>0</v>
      </c>
      <c r="S147" s="521">
        <f t="shared" si="54"/>
        <v>0</v>
      </c>
      <c r="T147" s="521">
        <f t="shared" si="54"/>
        <v>0</v>
      </c>
      <c r="U147" s="521">
        <f t="shared" si="54"/>
        <v>0</v>
      </c>
      <c r="V147" s="521">
        <f t="shared" si="54"/>
        <v>0</v>
      </c>
      <c r="W147" s="521">
        <f t="shared" si="54"/>
        <v>0</v>
      </c>
      <c r="X147" s="521">
        <f t="shared" si="54"/>
        <v>0</v>
      </c>
      <c r="Y147" s="521">
        <f t="shared" si="54"/>
        <v>0</v>
      </c>
      <c r="Z147" s="521">
        <f t="shared" si="54"/>
        <v>0</v>
      </c>
      <c r="AA147" s="521">
        <f t="shared" si="54"/>
        <v>0</v>
      </c>
      <c r="AB147" s="521">
        <f t="shared" si="54"/>
        <v>0</v>
      </c>
      <c r="AC147" s="521">
        <f t="shared" si="54"/>
        <v>0</v>
      </c>
      <c r="AD147" s="521">
        <f t="shared" si="54"/>
        <v>0</v>
      </c>
      <c r="AE147" s="521">
        <f t="shared" si="54"/>
        <v>0</v>
      </c>
      <c r="AF147" s="521">
        <f t="shared" si="54"/>
        <v>0</v>
      </c>
      <c r="AG147" s="521"/>
      <c r="AH147" s="521"/>
      <c r="AI147" s="521"/>
      <c r="AJ147" s="521"/>
      <c r="AK147" s="521">
        <f t="shared" ref="AK147:BX147" si="55">AK142+AK143+AK144+AK145+AK146</f>
        <v>0</v>
      </c>
      <c r="AL147" s="521">
        <f t="shared" si="55"/>
        <v>0</v>
      </c>
      <c r="AM147" s="521">
        <f t="shared" si="55"/>
        <v>0</v>
      </c>
      <c r="AN147" s="521">
        <f t="shared" si="55"/>
        <v>0</v>
      </c>
      <c r="AO147" s="521">
        <f t="shared" si="55"/>
        <v>0</v>
      </c>
      <c r="AP147" s="521">
        <f t="shared" si="55"/>
        <v>0</v>
      </c>
      <c r="AQ147" s="521">
        <f t="shared" si="55"/>
        <v>0</v>
      </c>
      <c r="AR147" s="521">
        <f t="shared" si="55"/>
        <v>0</v>
      </c>
      <c r="AS147" s="521">
        <f t="shared" si="55"/>
        <v>0</v>
      </c>
      <c r="AT147" s="521">
        <f t="shared" si="55"/>
        <v>0</v>
      </c>
      <c r="AU147" s="521">
        <f t="shared" si="55"/>
        <v>0</v>
      </c>
      <c r="AV147" s="521">
        <f t="shared" si="55"/>
        <v>0</v>
      </c>
      <c r="AW147" s="521">
        <f t="shared" si="55"/>
        <v>0</v>
      </c>
      <c r="AX147" s="521">
        <f t="shared" si="55"/>
        <v>0</v>
      </c>
      <c r="AY147" s="521">
        <f t="shared" si="55"/>
        <v>0</v>
      </c>
      <c r="AZ147" s="521">
        <f t="shared" si="55"/>
        <v>0</v>
      </c>
      <c r="BA147" s="521">
        <f t="shared" si="55"/>
        <v>0</v>
      </c>
      <c r="BB147" s="521">
        <f t="shared" si="55"/>
        <v>0</v>
      </c>
      <c r="BC147" s="521">
        <f t="shared" si="55"/>
        <v>0</v>
      </c>
      <c r="BD147" s="521">
        <f t="shared" si="55"/>
        <v>0</v>
      </c>
      <c r="BE147" s="521">
        <f t="shared" si="55"/>
        <v>0</v>
      </c>
      <c r="BF147" s="521">
        <f t="shared" si="55"/>
        <v>0</v>
      </c>
      <c r="BG147" s="521">
        <f t="shared" si="55"/>
        <v>0</v>
      </c>
      <c r="BH147" s="521">
        <f t="shared" si="55"/>
        <v>0</v>
      </c>
      <c r="BI147" s="521">
        <f t="shared" si="55"/>
        <v>0</v>
      </c>
      <c r="BJ147" s="521">
        <f t="shared" si="55"/>
        <v>0</v>
      </c>
      <c r="BK147" s="521">
        <f t="shared" si="55"/>
        <v>0</v>
      </c>
      <c r="BL147" s="521">
        <f t="shared" si="55"/>
        <v>0</v>
      </c>
      <c r="BM147" s="521">
        <f t="shared" si="55"/>
        <v>0</v>
      </c>
      <c r="BN147" s="521">
        <f t="shared" si="55"/>
        <v>0</v>
      </c>
      <c r="BO147" s="521">
        <f t="shared" si="55"/>
        <v>0</v>
      </c>
      <c r="BP147" s="521">
        <f t="shared" si="55"/>
        <v>0</v>
      </c>
      <c r="BQ147" s="521">
        <f t="shared" si="55"/>
        <v>0</v>
      </c>
      <c r="BR147" s="521">
        <f t="shared" si="55"/>
        <v>0</v>
      </c>
      <c r="BS147" s="521">
        <f t="shared" si="55"/>
        <v>0</v>
      </c>
      <c r="BT147" s="521">
        <f t="shared" si="55"/>
        <v>0</v>
      </c>
      <c r="BU147" s="521">
        <f t="shared" si="55"/>
        <v>0</v>
      </c>
      <c r="BV147" s="521">
        <f t="shared" si="55"/>
        <v>0</v>
      </c>
      <c r="BW147" s="521">
        <f t="shared" si="55"/>
        <v>0</v>
      </c>
      <c r="BX147" s="521" t="e">
        <f t="shared" si="55"/>
        <v>#NUM!</v>
      </c>
      <c r="BY147" s="268"/>
      <c r="BZ147" s="268"/>
      <c r="CA147" s="268"/>
      <c r="CB147" s="268"/>
      <c r="CC147" s="268"/>
      <c r="CD147" s="268"/>
      <c r="CE147" s="268"/>
      <c r="CF147" s="268"/>
      <c r="CG147" s="268"/>
      <c r="CH147" s="268"/>
      <c r="CI147" s="268"/>
      <c r="CJ147" s="268"/>
      <c r="CK147" s="268"/>
      <c r="CL147" s="268"/>
      <c r="CM147" s="268"/>
      <c r="CN147" s="268"/>
      <c r="CO147" s="268"/>
      <c r="CP147" s="268"/>
      <c r="CQ147" s="268"/>
      <c r="CR147" s="268"/>
      <c r="CS147" s="268"/>
      <c r="CT147" s="268"/>
      <c r="CU147" s="268"/>
      <c r="CV147" s="268"/>
      <c r="CW147" s="268"/>
      <c r="CX147" s="268"/>
      <c r="CY147" s="268"/>
      <c r="CZ147" s="268"/>
      <c r="DA147" s="268"/>
      <c r="DB147" s="268"/>
      <c r="DC147" s="268"/>
      <c r="DD147" s="268"/>
      <c r="DE147" s="268"/>
      <c r="DF147" s="268"/>
      <c r="DG147" s="268"/>
      <c r="DH147" s="268"/>
      <c r="DI147" s="268"/>
      <c r="DJ147" s="268"/>
      <c r="DK147" s="268"/>
      <c r="DL147" s="268"/>
      <c r="DM147" s="268"/>
      <c r="DN147" s="268"/>
      <c r="DO147" s="268"/>
      <c r="DP147" s="268"/>
      <c r="DQ147" s="268"/>
      <c r="DR147" s="268"/>
      <c r="DS147" s="268"/>
      <c r="DT147" s="268"/>
      <c r="DU147" s="268"/>
      <c r="DV147" s="268"/>
      <c r="DW147" s="344"/>
      <c r="DX147" s="344"/>
      <c r="DY147" s="344"/>
      <c r="DZ147" s="344"/>
      <c r="EA147" s="344"/>
      <c r="EB147" s="344"/>
      <c r="EC147" s="344"/>
      <c r="ED147" s="344"/>
      <c r="EE147" s="344"/>
      <c r="EF147" s="344"/>
      <c r="EG147" s="344"/>
      <c r="EH147" s="344"/>
    </row>
    <row r="148" spans="1:138" hidden="1">
      <c r="A148" s="268"/>
      <c r="B148" s="342"/>
      <c r="C148" s="340"/>
      <c r="D148" s="522" t="s">
        <v>343</v>
      </c>
      <c r="E148" s="526">
        <f>E147</f>
        <v>0</v>
      </c>
      <c r="F148" s="526">
        <f t="shared" ref="F148:AF148" si="56">E148+F147</f>
        <v>0</v>
      </c>
      <c r="G148" s="526">
        <f t="shared" si="56"/>
        <v>0</v>
      </c>
      <c r="H148" s="526">
        <f t="shared" si="56"/>
        <v>0</v>
      </c>
      <c r="I148" s="526">
        <f t="shared" si="56"/>
        <v>0</v>
      </c>
      <c r="J148" s="526">
        <f t="shared" si="56"/>
        <v>0</v>
      </c>
      <c r="K148" s="526">
        <f t="shared" si="56"/>
        <v>0</v>
      </c>
      <c r="L148" s="526">
        <f t="shared" si="56"/>
        <v>0</v>
      </c>
      <c r="M148" s="526">
        <f t="shared" si="56"/>
        <v>0</v>
      </c>
      <c r="N148" s="526">
        <f t="shared" si="56"/>
        <v>0</v>
      </c>
      <c r="O148" s="526">
        <f t="shared" si="56"/>
        <v>0</v>
      </c>
      <c r="P148" s="526">
        <f t="shared" si="56"/>
        <v>0</v>
      </c>
      <c r="Q148" s="526">
        <f t="shared" si="56"/>
        <v>0</v>
      </c>
      <c r="R148" s="526">
        <f t="shared" si="56"/>
        <v>0</v>
      </c>
      <c r="S148" s="526">
        <f t="shared" si="56"/>
        <v>0</v>
      </c>
      <c r="T148" s="526">
        <f t="shared" si="56"/>
        <v>0</v>
      </c>
      <c r="U148" s="526">
        <f t="shared" si="56"/>
        <v>0</v>
      </c>
      <c r="V148" s="526">
        <f t="shared" si="56"/>
        <v>0</v>
      </c>
      <c r="W148" s="526">
        <f t="shared" si="56"/>
        <v>0</v>
      </c>
      <c r="X148" s="526">
        <f t="shared" si="56"/>
        <v>0</v>
      </c>
      <c r="Y148" s="526">
        <f t="shared" si="56"/>
        <v>0</v>
      </c>
      <c r="Z148" s="526">
        <f t="shared" si="56"/>
        <v>0</v>
      </c>
      <c r="AA148" s="526">
        <f t="shared" si="56"/>
        <v>0</v>
      </c>
      <c r="AB148" s="526">
        <f t="shared" si="56"/>
        <v>0</v>
      </c>
      <c r="AC148" s="526">
        <f t="shared" si="56"/>
        <v>0</v>
      </c>
      <c r="AD148" s="526">
        <f t="shared" si="56"/>
        <v>0</v>
      </c>
      <c r="AE148" s="526">
        <f t="shared" si="56"/>
        <v>0</v>
      </c>
      <c r="AF148" s="526">
        <f t="shared" si="56"/>
        <v>0</v>
      </c>
      <c r="AG148" s="526"/>
      <c r="AH148" s="526"/>
      <c r="AI148" s="526"/>
      <c r="AJ148" s="526"/>
      <c r="AK148" s="526">
        <f t="shared" ref="AK148:BX148" si="57">AJ148+AK147</f>
        <v>0</v>
      </c>
      <c r="AL148" s="526">
        <f t="shared" si="57"/>
        <v>0</v>
      </c>
      <c r="AM148" s="526">
        <f t="shared" si="57"/>
        <v>0</v>
      </c>
      <c r="AN148" s="526">
        <f t="shared" si="57"/>
        <v>0</v>
      </c>
      <c r="AO148" s="526">
        <f t="shared" si="57"/>
        <v>0</v>
      </c>
      <c r="AP148" s="526">
        <f t="shared" si="57"/>
        <v>0</v>
      </c>
      <c r="AQ148" s="526">
        <f t="shared" si="57"/>
        <v>0</v>
      </c>
      <c r="AR148" s="526">
        <f t="shared" si="57"/>
        <v>0</v>
      </c>
      <c r="AS148" s="526">
        <f t="shared" si="57"/>
        <v>0</v>
      </c>
      <c r="AT148" s="526">
        <f t="shared" si="57"/>
        <v>0</v>
      </c>
      <c r="AU148" s="526">
        <f t="shared" si="57"/>
        <v>0</v>
      </c>
      <c r="AV148" s="526">
        <f t="shared" si="57"/>
        <v>0</v>
      </c>
      <c r="AW148" s="526">
        <f t="shared" si="57"/>
        <v>0</v>
      </c>
      <c r="AX148" s="526">
        <f t="shared" si="57"/>
        <v>0</v>
      </c>
      <c r="AY148" s="526">
        <f t="shared" si="57"/>
        <v>0</v>
      </c>
      <c r="AZ148" s="526">
        <f t="shared" si="57"/>
        <v>0</v>
      </c>
      <c r="BA148" s="526">
        <f t="shared" si="57"/>
        <v>0</v>
      </c>
      <c r="BB148" s="526">
        <f t="shared" si="57"/>
        <v>0</v>
      </c>
      <c r="BC148" s="526">
        <f t="shared" si="57"/>
        <v>0</v>
      </c>
      <c r="BD148" s="526">
        <f t="shared" si="57"/>
        <v>0</v>
      </c>
      <c r="BE148" s="526">
        <f t="shared" si="57"/>
        <v>0</v>
      </c>
      <c r="BF148" s="526">
        <f t="shared" si="57"/>
        <v>0</v>
      </c>
      <c r="BG148" s="526">
        <f t="shared" si="57"/>
        <v>0</v>
      </c>
      <c r="BH148" s="526">
        <f t="shared" si="57"/>
        <v>0</v>
      </c>
      <c r="BI148" s="526">
        <f t="shared" si="57"/>
        <v>0</v>
      </c>
      <c r="BJ148" s="526">
        <f t="shared" si="57"/>
        <v>0</v>
      </c>
      <c r="BK148" s="526">
        <f t="shared" si="57"/>
        <v>0</v>
      </c>
      <c r="BL148" s="526">
        <f t="shared" si="57"/>
        <v>0</v>
      </c>
      <c r="BM148" s="526">
        <f t="shared" si="57"/>
        <v>0</v>
      </c>
      <c r="BN148" s="526">
        <f t="shared" si="57"/>
        <v>0</v>
      </c>
      <c r="BO148" s="526">
        <f t="shared" si="57"/>
        <v>0</v>
      </c>
      <c r="BP148" s="526">
        <f t="shared" si="57"/>
        <v>0</v>
      </c>
      <c r="BQ148" s="526">
        <f t="shared" si="57"/>
        <v>0</v>
      </c>
      <c r="BR148" s="526">
        <f t="shared" si="57"/>
        <v>0</v>
      </c>
      <c r="BS148" s="526">
        <f t="shared" si="57"/>
        <v>0</v>
      </c>
      <c r="BT148" s="526">
        <f t="shared" si="57"/>
        <v>0</v>
      </c>
      <c r="BU148" s="526">
        <f t="shared" si="57"/>
        <v>0</v>
      </c>
      <c r="BV148" s="526">
        <f t="shared" si="57"/>
        <v>0</v>
      </c>
      <c r="BW148" s="526">
        <f t="shared" si="57"/>
        <v>0</v>
      </c>
      <c r="BX148" s="526" t="e">
        <f t="shared" si="57"/>
        <v>#NUM!</v>
      </c>
      <c r="BY148" s="268"/>
      <c r="BZ148" s="268"/>
      <c r="CA148" s="268"/>
      <c r="CB148" s="268"/>
      <c r="CC148" s="268"/>
      <c r="CD148" s="268"/>
      <c r="CE148" s="268"/>
      <c r="CF148" s="268"/>
      <c r="CG148" s="268"/>
      <c r="CH148" s="268"/>
      <c r="CI148" s="268"/>
      <c r="CJ148" s="268"/>
      <c r="CK148" s="268"/>
      <c r="CL148" s="268"/>
      <c r="CM148" s="268"/>
      <c r="CN148" s="268"/>
      <c r="CO148" s="268"/>
      <c r="CP148" s="268"/>
      <c r="CQ148" s="268"/>
      <c r="CR148" s="268"/>
      <c r="CS148" s="268"/>
      <c r="CT148" s="268"/>
      <c r="CU148" s="268"/>
      <c r="CV148" s="268"/>
      <c r="CW148" s="268"/>
      <c r="CX148" s="268"/>
      <c r="CY148" s="268"/>
      <c r="CZ148" s="268"/>
      <c r="DA148" s="268"/>
      <c r="DB148" s="268"/>
      <c r="DC148" s="268"/>
      <c r="DD148" s="268"/>
      <c r="DE148" s="268"/>
      <c r="DF148" s="268"/>
      <c r="DG148" s="268"/>
      <c r="DH148" s="268"/>
      <c r="DI148" s="268"/>
      <c r="DJ148" s="268"/>
      <c r="DK148" s="268"/>
      <c r="DL148" s="268"/>
      <c r="DM148" s="268"/>
      <c r="DN148" s="268"/>
      <c r="DO148" s="268"/>
      <c r="DP148" s="268"/>
      <c r="DQ148" s="268"/>
      <c r="DR148" s="268"/>
      <c r="DS148" s="268"/>
      <c r="DT148" s="268"/>
      <c r="DU148" s="268"/>
      <c r="DV148" s="268"/>
      <c r="DW148" s="344"/>
      <c r="DX148" s="344"/>
      <c r="DY148" s="344"/>
      <c r="DZ148" s="344"/>
      <c r="EA148" s="344"/>
      <c r="EB148" s="344"/>
      <c r="EC148" s="344"/>
      <c r="ED148" s="344"/>
      <c r="EE148" s="344"/>
      <c r="EF148" s="344"/>
      <c r="EG148" s="344"/>
      <c r="EH148" s="344"/>
    </row>
    <row r="149" spans="1:138" hidden="1">
      <c r="A149" s="268"/>
      <c r="B149" s="342"/>
      <c r="C149" s="517" t="s">
        <v>329</v>
      </c>
      <c r="D149" s="522" t="e">
        <f>IRR(P147:AC147)*12</f>
        <v>#NUM!</v>
      </c>
      <c r="E149" s="268"/>
      <c r="F149" s="268"/>
      <c r="G149" s="268"/>
      <c r="H149" s="268"/>
      <c r="I149" s="268"/>
      <c r="J149" s="268"/>
      <c r="K149" s="268"/>
      <c r="L149" s="268"/>
      <c r="M149" s="268"/>
      <c r="N149" s="268"/>
      <c r="O149" s="268"/>
      <c r="P149" s="268"/>
      <c r="Q149" s="268"/>
      <c r="R149" s="268"/>
      <c r="S149" s="268"/>
      <c r="T149" s="268"/>
      <c r="U149" s="268"/>
      <c r="V149" s="268"/>
      <c r="W149" s="268"/>
      <c r="X149" s="268"/>
      <c r="Y149" s="268"/>
      <c r="Z149" s="268"/>
      <c r="AA149" s="268"/>
      <c r="AB149" s="268"/>
      <c r="AC149" s="268"/>
      <c r="AD149" s="268"/>
      <c r="AE149" s="268"/>
      <c r="AF149" s="268"/>
      <c r="AG149" s="268"/>
      <c r="AH149" s="268"/>
      <c r="AI149" s="268"/>
      <c r="AJ149" s="268"/>
      <c r="AK149" s="268"/>
      <c r="AL149" s="268"/>
      <c r="AM149" s="268"/>
      <c r="AN149" s="268"/>
      <c r="AO149" s="268"/>
      <c r="AP149" s="268"/>
      <c r="AQ149" s="268"/>
      <c r="AR149" s="268"/>
      <c r="AS149" s="268"/>
      <c r="AT149" s="268"/>
      <c r="AU149" s="268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8"/>
      <c r="BF149" s="268"/>
      <c r="BG149" s="268"/>
      <c r="BH149" s="268"/>
      <c r="BI149" s="268"/>
      <c r="BJ149" s="268"/>
      <c r="BK149" s="268"/>
      <c r="BL149" s="268"/>
      <c r="BM149" s="268"/>
      <c r="BN149" s="268"/>
      <c r="BO149" s="268"/>
      <c r="BP149" s="268"/>
      <c r="BQ149" s="268"/>
      <c r="BR149" s="268"/>
      <c r="BS149" s="268"/>
      <c r="BT149" s="268"/>
      <c r="BU149" s="268"/>
      <c r="BV149" s="268"/>
      <c r="BW149" s="268"/>
      <c r="BX149" s="268"/>
      <c r="BY149" s="268"/>
      <c r="BZ149" s="268"/>
      <c r="CA149" s="268"/>
      <c r="CB149" s="268"/>
      <c r="CC149" s="268"/>
      <c r="CD149" s="268"/>
      <c r="CE149" s="268"/>
      <c r="CF149" s="268"/>
      <c r="CG149" s="268"/>
      <c r="CH149" s="268"/>
      <c r="CI149" s="268"/>
      <c r="CJ149" s="268"/>
      <c r="CK149" s="268"/>
      <c r="CL149" s="268"/>
      <c r="CM149" s="268"/>
      <c r="CN149" s="268"/>
      <c r="CO149" s="268"/>
      <c r="CP149" s="268"/>
      <c r="CQ149" s="268"/>
      <c r="CR149" s="268"/>
      <c r="CS149" s="268"/>
      <c r="CT149" s="268"/>
      <c r="CU149" s="268"/>
      <c r="CV149" s="268"/>
      <c r="CW149" s="268"/>
      <c r="CX149" s="268"/>
      <c r="CY149" s="268"/>
      <c r="CZ149" s="268"/>
      <c r="DA149" s="268"/>
      <c r="DB149" s="268"/>
      <c r="DC149" s="268"/>
      <c r="DD149" s="268"/>
      <c r="DE149" s="268"/>
      <c r="DF149" s="268"/>
      <c r="DG149" s="268"/>
      <c r="DH149" s="268"/>
      <c r="DI149" s="268"/>
      <c r="DJ149" s="268"/>
      <c r="DK149" s="268"/>
      <c r="DL149" s="268"/>
      <c r="DM149" s="268"/>
      <c r="DN149" s="268"/>
      <c r="DO149" s="268"/>
      <c r="DP149" s="268"/>
      <c r="DQ149" s="268"/>
      <c r="DR149" s="268"/>
      <c r="DS149" s="268"/>
      <c r="DT149" s="268"/>
      <c r="DU149" s="268"/>
      <c r="DV149" s="268"/>
      <c r="DW149" s="344"/>
      <c r="DX149" s="344"/>
      <c r="DY149" s="344"/>
      <c r="DZ149" s="344"/>
      <c r="EA149" s="344"/>
      <c r="EB149" s="344"/>
      <c r="EC149" s="344"/>
      <c r="ED149" s="344"/>
      <c r="EE149" s="344"/>
      <c r="EF149" s="344"/>
      <c r="EG149" s="344"/>
      <c r="EH149" s="344"/>
    </row>
    <row r="150" spans="1:138" hidden="1">
      <c r="A150" s="268"/>
      <c r="B150" s="342"/>
      <c r="C150" s="523" t="s">
        <v>337</v>
      </c>
      <c r="D150" s="524">
        <f>-MIN(M148:BL148)-D151</f>
        <v>0</v>
      </c>
      <c r="E150" s="268"/>
      <c r="F150" s="268"/>
      <c r="G150" s="268"/>
      <c r="H150" s="268"/>
      <c r="I150" s="268"/>
      <c r="J150" s="268"/>
      <c r="K150" s="268"/>
      <c r="L150" s="268"/>
      <c r="M150" s="268"/>
      <c r="N150" s="268"/>
      <c r="O150" s="268"/>
      <c r="P150" s="268"/>
      <c r="Q150" s="268"/>
      <c r="R150" s="268"/>
      <c r="S150" s="268"/>
      <c r="T150" s="268"/>
      <c r="U150" s="268"/>
      <c r="V150" s="268"/>
      <c r="W150" s="268"/>
      <c r="X150" s="268"/>
      <c r="Y150" s="268"/>
      <c r="Z150" s="268"/>
      <c r="AA150" s="268"/>
      <c r="AB150" s="268"/>
      <c r="AC150" s="268"/>
      <c r="AD150" s="268"/>
      <c r="AE150" s="268"/>
      <c r="AF150" s="268"/>
      <c r="AG150" s="268"/>
      <c r="AH150" s="268"/>
      <c r="AI150" s="268"/>
      <c r="AJ150" s="268"/>
      <c r="AK150" s="268"/>
      <c r="AL150" s="268"/>
      <c r="AM150" s="268"/>
      <c r="AN150" s="268"/>
      <c r="AO150" s="268"/>
      <c r="AP150" s="268"/>
      <c r="AQ150" s="268"/>
      <c r="AR150" s="268"/>
      <c r="AS150" s="268"/>
      <c r="AT150" s="268"/>
      <c r="AU150" s="268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8"/>
      <c r="BF150" s="268"/>
      <c r="BG150" s="268"/>
      <c r="BH150" s="268"/>
      <c r="BI150" s="268"/>
      <c r="BJ150" s="268"/>
      <c r="BK150" s="268"/>
      <c r="BL150" s="268"/>
      <c r="BM150" s="268"/>
      <c r="BN150" s="268"/>
      <c r="BO150" s="268"/>
      <c r="BP150" s="268"/>
      <c r="BQ150" s="268"/>
      <c r="BR150" s="268"/>
      <c r="BS150" s="268"/>
      <c r="BT150" s="268"/>
      <c r="BU150" s="268"/>
      <c r="BV150" s="268"/>
      <c r="BW150" s="268"/>
      <c r="BX150" s="268"/>
      <c r="BY150" s="268"/>
      <c r="BZ150" s="268"/>
      <c r="CA150" s="268"/>
      <c r="CB150" s="268"/>
      <c r="CC150" s="268"/>
      <c r="CD150" s="268"/>
      <c r="CE150" s="268"/>
      <c r="CF150" s="268"/>
      <c r="CG150" s="268"/>
      <c r="CH150" s="268"/>
      <c r="CI150" s="268"/>
      <c r="CJ150" s="268"/>
      <c r="CK150" s="268"/>
      <c r="CL150" s="268"/>
      <c r="CM150" s="268"/>
      <c r="CN150" s="268"/>
      <c r="CO150" s="268"/>
      <c r="CP150" s="268"/>
      <c r="CQ150" s="268"/>
      <c r="CR150" s="268"/>
      <c r="CS150" s="268"/>
      <c r="CT150" s="268"/>
      <c r="CU150" s="268"/>
      <c r="CV150" s="268"/>
      <c r="CW150" s="268"/>
      <c r="CX150" s="268"/>
      <c r="CY150" s="268"/>
      <c r="CZ150" s="268"/>
      <c r="DA150" s="268"/>
      <c r="DB150" s="268"/>
      <c r="DC150" s="268"/>
      <c r="DD150" s="268"/>
      <c r="DE150" s="268"/>
      <c r="DF150" s="268"/>
      <c r="DG150" s="268"/>
      <c r="DH150" s="268"/>
      <c r="DI150" s="268"/>
      <c r="DJ150" s="268"/>
      <c r="DK150" s="268"/>
      <c r="DL150" s="268"/>
      <c r="DM150" s="268"/>
      <c r="DN150" s="268"/>
      <c r="DO150" s="268"/>
      <c r="DP150" s="268"/>
      <c r="DQ150" s="268"/>
      <c r="DR150" s="268"/>
      <c r="DS150" s="268"/>
      <c r="DT150" s="268"/>
      <c r="DU150" s="268"/>
      <c r="DV150" s="268"/>
      <c r="DW150" s="344"/>
      <c r="DX150" s="344"/>
      <c r="DY150" s="344"/>
      <c r="DZ150" s="344"/>
      <c r="EA150" s="344"/>
      <c r="EB150" s="344"/>
      <c r="EC150" s="344"/>
      <c r="ED150" s="344"/>
      <c r="EE150" s="344"/>
      <c r="EF150" s="344"/>
      <c r="EG150" s="344"/>
      <c r="EH150" s="344"/>
    </row>
    <row r="151" spans="1:138" hidden="1">
      <c r="A151" s="268"/>
      <c r="B151" s="342"/>
      <c r="C151" s="523" t="s">
        <v>344</v>
      </c>
      <c r="D151" s="524">
        <f>-SUM(M146:BB146)</f>
        <v>0</v>
      </c>
      <c r="E151" s="268"/>
      <c r="F151" s="268"/>
      <c r="G151" s="268"/>
      <c r="H151" s="268"/>
      <c r="I151" s="268"/>
      <c r="J151" s="268"/>
      <c r="K151" s="268"/>
      <c r="L151" s="268"/>
      <c r="M151" s="268"/>
      <c r="N151" s="268"/>
      <c r="O151" s="268"/>
      <c r="P151" s="268"/>
      <c r="Q151" s="268"/>
      <c r="R151" s="268"/>
      <c r="S151" s="268"/>
      <c r="T151" s="268"/>
      <c r="U151" s="268"/>
      <c r="V151" s="268"/>
      <c r="W151" s="268"/>
      <c r="X151" s="268"/>
      <c r="Y151" s="268"/>
      <c r="Z151" s="268"/>
      <c r="AA151" s="268"/>
      <c r="AB151" s="268"/>
      <c r="AC151" s="268"/>
      <c r="AD151" s="268"/>
      <c r="AE151" s="268"/>
      <c r="AF151" s="268"/>
      <c r="AG151" s="268"/>
      <c r="AH151" s="268"/>
      <c r="AI151" s="268"/>
      <c r="AJ151" s="268"/>
      <c r="AK151" s="268"/>
      <c r="AL151" s="268"/>
      <c r="AM151" s="268"/>
      <c r="AN151" s="268"/>
      <c r="AO151" s="268"/>
      <c r="AP151" s="268"/>
      <c r="AQ151" s="268"/>
      <c r="AR151" s="268"/>
      <c r="AS151" s="268"/>
      <c r="AT151" s="268"/>
      <c r="AU151" s="268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8"/>
      <c r="BF151" s="268"/>
      <c r="BG151" s="268"/>
      <c r="BH151" s="268"/>
      <c r="BI151" s="268"/>
      <c r="BJ151" s="268"/>
      <c r="BK151" s="268"/>
      <c r="BL151" s="268"/>
      <c r="BM151" s="268"/>
      <c r="BN151" s="268"/>
      <c r="BO151" s="268"/>
      <c r="BP151" s="268"/>
      <c r="BQ151" s="268"/>
      <c r="BR151" s="268"/>
      <c r="BS151" s="268"/>
      <c r="BT151" s="268"/>
      <c r="BU151" s="268"/>
      <c r="BV151" s="268"/>
      <c r="BW151" s="268"/>
      <c r="BX151" s="268"/>
      <c r="BY151" s="268"/>
      <c r="BZ151" s="268"/>
      <c r="CA151" s="268"/>
      <c r="CB151" s="268"/>
      <c r="CC151" s="268"/>
      <c r="CD151" s="268"/>
      <c r="CE151" s="268"/>
      <c r="CF151" s="268"/>
      <c r="CG151" s="268"/>
      <c r="CH151" s="268"/>
      <c r="CI151" s="268"/>
      <c r="CJ151" s="268"/>
      <c r="CK151" s="268"/>
      <c r="CL151" s="268"/>
      <c r="CM151" s="268"/>
      <c r="CN151" s="268"/>
      <c r="CO151" s="268"/>
      <c r="CP151" s="268"/>
      <c r="CQ151" s="268"/>
      <c r="CR151" s="268"/>
      <c r="CS151" s="268"/>
      <c r="CT151" s="268"/>
      <c r="CU151" s="268"/>
      <c r="CV151" s="268"/>
      <c r="CW151" s="268"/>
      <c r="CX151" s="268"/>
      <c r="CY151" s="268"/>
      <c r="CZ151" s="268"/>
      <c r="DA151" s="268"/>
      <c r="DB151" s="268"/>
      <c r="DC151" s="268"/>
      <c r="DD151" s="268"/>
      <c r="DE151" s="268"/>
      <c r="DF151" s="268"/>
      <c r="DG151" s="268"/>
      <c r="DH151" s="268"/>
      <c r="DI151" s="268"/>
      <c r="DJ151" s="268"/>
      <c r="DK151" s="268"/>
      <c r="DL151" s="268"/>
      <c r="DM151" s="268"/>
      <c r="DN151" s="268"/>
      <c r="DO151" s="268"/>
      <c r="DP151" s="268"/>
      <c r="DQ151" s="268"/>
      <c r="DR151" s="268"/>
      <c r="DS151" s="268"/>
      <c r="DT151" s="268"/>
      <c r="DU151" s="268"/>
      <c r="DV151" s="268"/>
      <c r="DW151" s="344"/>
      <c r="DX151" s="344"/>
      <c r="DY151" s="344"/>
      <c r="DZ151" s="344"/>
      <c r="EA151" s="344"/>
      <c r="EB151" s="344"/>
      <c r="EC151" s="344"/>
      <c r="ED151" s="344"/>
      <c r="EE151" s="344"/>
      <c r="EF151" s="344"/>
      <c r="EG151" s="344"/>
      <c r="EH151" s="344"/>
    </row>
    <row r="152" spans="1:138" hidden="1">
      <c r="A152" s="268"/>
      <c r="B152" s="342"/>
      <c r="C152" s="517" t="s">
        <v>338</v>
      </c>
      <c r="D152" s="525">
        <f>D151+D150</f>
        <v>0</v>
      </c>
      <c r="E152" s="268"/>
      <c r="F152" s="268"/>
      <c r="G152" s="268"/>
      <c r="H152" s="268"/>
      <c r="I152" s="268"/>
      <c r="J152" s="268"/>
      <c r="K152" s="268"/>
      <c r="L152" s="268"/>
      <c r="M152" s="268"/>
      <c r="N152" s="268"/>
      <c r="O152" s="268"/>
      <c r="P152" s="268"/>
      <c r="Q152" s="268"/>
      <c r="R152" s="268"/>
      <c r="S152" s="268"/>
      <c r="T152" s="268"/>
      <c r="U152" s="268"/>
      <c r="V152" s="268"/>
      <c r="W152" s="268"/>
      <c r="X152" s="268"/>
      <c r="Y152" s="268"/>
      <c r="Z152" s="268"/>
      <c r="AA152" s="268"/>
      <c r="AB152" s="268"/>
      <c r="AC152" s="285" t="e">
        <f>AC144/AC142</f>
        <v>#DIV/0!</v>
      </c>
      <c r="AD152" s="268"/>
      <c r="AE152" s="268"/>
      <c r="AF152" s="268"/>
      <c r="AG152" s="268"/>
      <c r="AH152" s="268"/>
      <c r="AI152" s="268"/>
      <c r="AJ152" s="268"/>
      <c r="AK152" s="268"/>
      <c r="AL152" s="268"/>
      <c r="AM152" s="268"/>
      <c r="AN152" s="268"/>
      <c r="AO152" s="268"/>
      <c r="AP152" s="268"/>
      <c r="AQ152" s="268"/>
      <c r="AR152" s="268"/>
      <c r="AS152" s="268"/>
      <c r="AT152" s="268"/>
      <c r="AU152" s="268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8"/>
      <c r="BF152" s="268"/>
      <c r="BG152" s="268"/>
      <c r="BH152" s="268"/>
      <c r="BI152" s="268"/>
      <c r="BJ152" s="268"/>
      <c r="BK152" s="268"/>
      <c r="BL152" s="268"/>
      <c r="BM152" s="268"/>
      <c r="BN152" s="268"/>
      <c r="BO152" s="268"/>
      <c r="BP152" s="268"/>
      <c r="BQ152" s="268"/>
      <c r="BR152" s="268"/>
      <c r="BS152" s="268"/>
      <c r="BT152" s="268"/>
      <c r="BU152" s="268"/>
      <c r="BV152" s="268"/>
      <c r="BW152" s="268"/>
      <c r="BX152" s="268"/>
      <c r="BY152" s="268"/>
      <c r="BZ152" s="268"/>
      <c r="CA152" s="268"/>
      <c r="CB152" s="268"/>
      <c r="CC152" s="268"/>
      <c r="CD152" s="268"/>
      <c r="CE152" s="268"/>
      <c r="CF152" s="268"/>
      <c r="CG152" s="268"/>
      <c r="CH152" s="268"/>
      <c r="CI152" s="268"/>
      <c r="CJ152" s="268"/>
      <c r="CK152" s="268"/>
      <c r="CL152" s="268"/>
      <c r="CM152" s="268"/>
      <c r="CN152" s="268"/>
      <c r="CO152" s="268"/>
      <c r="CP152" s="268"/>
      <c r="CQ152" s="268"/>
      <c r="CR152" s="268"/>
      <c r="CS152" s="268"/>
      <c r="CT152" s="268"/>
      <c r="CU152" s="268"/>
      <c r="CV152" s="268"/>
      <c r="CW152" s="268"/>
      <c r="CX152" s="268"/>
      <c r="CY152" s="268"/>
      <c r="CZ152" s="268"/>
      <c r="DA152" s="268"/>
      <c r="DB152" s="268"/>
      <c r="DC152" s="268"/>
      <c r="DD152" s="268"/>
      <c r="DE152" s="268"/>
      <c r="DF152" s="268"/>
      <c r="DG152" s="268"/>
      <c r="DH152" s="268"/>
      <c r="DI152" s="268"/>
      <c r="DJ152" s="268"/>
      <c r="DK152" s="268"/>
      <c r="DL152" s="268"/>
      <c r="DM152" s="268"/>
      <c r="DN152" s="268"/>
      <c r="DO152" s="268"/>
      <c r="DP152" s="268"/>
      <c r="DQ152" s="268"/>
      <c r="DR152" s="268"/>
      <c r="DS152" s="268"/>
      <c r="DT152" s="268"/>
      <c r="DU152" s="268"/>
      <c r="DV152" s="268"/>
      <c r="DW152" s="344"/>
      <c r="DX152" s="344"/>
      <c r="DY152" s="344"/>
      <c r="DZ152" s="344"/>
      <c r="EA152" s="344"/>
      <c r="EB152" s="344"/>
      <c r="EC152" s="344"/>
      <c r="ED152" s="344"/>
      <c r="EE152" s="344"/>
      <c r="EF152" s="344"/>
      <c r="EG152" s="344"/>
      <c r="EH152" s="344"/>
    </row>
    <row r="153" spans="1:138" hidden="1">
      <c r="A153" s="268"/>
      <c r="B153" s="342"/>
      <c r="C153" s="517" t="s">
        <v>339</v>
      </c>
      <c r="D153" s="525">
        <f>AC145+AC144</f>
        <v>0</v>
      </c>
      <c r="E153" s="268"/>
      <c r="F153" s="268"/>
      <c r="G153" s="268"/>
      <c r="H153" s="268"/>
      <c r="I153" s="268"/>
      <c r="J153" s="268"/>
      <c r="K153" s="268"/>
      <c r="L153" s="268"/>
      <c r="M153" s="268"/>
      <c r="N153" s="268"/>
      <c r="O153" s="268"/>
      <c r="P153" s="268"/>
      <c r="Q153" s="268"/>
      <c r="R153" s="268"/>
      <c r="S153" s="268"/>
      <c r="T153" s="268"/>
      <c r="U153" s="268"/>
      <c r="V153" s="268"/>
      <c r="W153" s="268"/>
      <c r="X153" s="268"/>
      <c r="Y153" s="268"/>
      <c r="Z153" s="268"/>
      <c r="AA153" s="268"/>
      <c r="AB153" s="268"/>
      <c r="AC153" s="268"/>
      <c r="AD153" s="268"/>
      <c r="AE153" s="268"/>
      <c r="AF153" s="268"/>
      <c r="AG153" s="268"/>
      <c r="AH153" s="268"/>
      <c r="AI153" s="268"/>
      <c r="AJ153" s="268"/>
      <c r="AK153" s="268"/>
      <c r="AL153" s="268"/>
      <c r="AM153" s="268"/>
      <c r="AN153" s="268"/>
      <c r="AO153" s="268"/>
      <c r="AP153" s="268"/>
      <c r="AQ153" s="268"/>
      <c r="AR153" s="268"/>
      <c r="AS153" s="268"/>
      <c r="AT153" s="268"/>
      <c r="AU153" s="268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8"/>
      <c r="BF153" s="268"/>
      <c r="BG153" s="268"/>
      <c r="BH153" s="268"/>
      <c r="BI153" s="268"/>
      <c r="BJ153" s="268"/>
      <c r="BK153" s="268"/>
      <c r="BL153" s="268"/>
      <c r="BM153" s="268"/>
      <c r="BN153" s="268"/>
      <c r="BO153" s="268"/>
      <c r="BP153" s="268"/>
      <c r="BQ153" s="268"/>
      <c r="BR153" s="268"/>
      <c r="BS153" s="268"/>
      <c r="BT153" s="268"/>
      <c r="BU153" s="268"/>
      <c r="BV153" s="268"/>
      <c r="BW153" s="268"/>
      <c r="BX153" s="268"/>
      <c r="BY153" s="268"/>
      <c r="BZ153" s="268"/>
      <c r="CA153" s="268"/>
      <c r="CB153" s="268"/>
      <c r="CC153" s="268"/>
      <c r="CD153" s="268"/>
      <c r="CE153" s="268"/>
      <c r="CF153" s="268"/>
      <c r="CG153" s="268"/>
      <c r="CH153" s="268"/>
      <c r="CI153" s="268"/>
      <c r="CJ153" s="268"/>
      <c r="CK153" s="268"/>
      <c r="CL153" s="268"/>
      <c r="CM153" s="268"/>
      <c r="CN153" s="268"/>
      <c r="CO153" s="268"/>
      <c r="CP153" s="268"/>
      <c r="CQ153" s="268"/>
      <c r="CR153" s="268"/>
      <c r="CS153" s="268"/>
      <c r="CT153" s="268"/>
      <c r="CU153" s="268"/>
      <c r="CV153" s="268"/>
      <c r="CW153" s="268"/>
      <c r="CX153" s="268"/>
      <c r="CY153" s="268"/>
      <c r="CZ153" s="268"/>
      <c r="DA153" s="268"/>
      <c r="DB153" s="268"/>
      <c r="DC153" s="268"/>
      <c r="DD153" s="268"/>
      <c r="DE153" s="268"/>
      <c r="DF153" s="268"/>
      <c r="DG153" s="268"/>
      <c r="DH153" s="268"/>
      <c r="DI153" s="268"/>
      <c r="DJ153" s="268"/>
      <c r="DK153" s="268"/>
      <c r="DL153" s="268"/>
      <c r="DM153" s="268"/>
      <c r="DN153" s="268"/>
      <c r="DO153" s="268"/>
      <c r="DP153" s="268"/>
      <c r="DQ153" s="268"/>
      <c r="DR153" s="268"/>
      <c r="DS153" s="268"/>
      <c r="DT153" s="268"/>
      <c r="DU153" s="268"/>
      <c r="DV153" s="268"/>
      <c r="DW153" s="344"/>
      <c r="DX153" s="344"/>
      <c r="DY153" s="344"/>
      <c r="DZ153" s="344"/>
      <c r="EA153" s="344"/>
      <c r="EB153" s="344"/>
      <c r="EC153" s="344"/>
      <c r="ED153" s="344"/>
      <c r="EE153" s="344"/>
      <c r="EF153" s="344"/>
      <c r="EG153" s="344"/>
      <c r="EH153" s="344"/>
    </row>
    <row r="154" spans="1:138" hidden="1">
      <c r="A154" s="268"/>
      <c r="B154" s="342"/>
      <c r="C154" s="517" t="s">
        <v>340</v>
      </c>
      <c r="D154" s="522" t="e">
        <f>(D153-D151)/D152</f>
        <v>#DIV/0!</v>
      </c>
      <c r="E154" s="268"/>
      <c r="F154" s="268"/>
      <c r="G154" s="268"/>
      <c r="H154" s="268"/>
      <c r="I154" s="268"/>
      <c r="J154" s="268"/>
      <c r="K154" s="268"/>
      <c r="L154" s="268"/>
      <c r="M154" s="268"/>
      <c r="N154" s="268"/>
      <c r="O154" s="268"/>
      <c r="P154" s="268"/>
      <c r="Q154" s="268"/>
      <c r="R154" s="268"/>
      <c r="S154" s="268"/>
      <c r="T154" s="268"/>
      <c r="U154" s="268"/>
      <c r="V154" s="268"/>
      <c r="W154" s="268"/>
      <c r="X154" s="268"/>
      <c r="Y154" s="268"/>
      <c r="Z154" s="268"/>
      <c r="AA154" s="268"/>
      <c r="AB154" s="268"/>
      <c r="AC154" s="268"/>
      <c r="AD154" s="268"/>
      <c r="AE154" s="268"/>
      <c r="AF154" s="268"/>
      <c r="AG154" s="268"/>
      <c r="AH154" s="268"/>
      <c r="AI154" s="268"/>
      <c r="AJ154" s="268"/>
      <c r="AK154" s="268"/>
      <c r="AL154" s="268"/>
      <c r="AM154" s="268"/>
      <c r="AN154" s="268"/>
      <c r="AO154" s="268"/>
      <c r="AP154" s="268"/>
      <c r="AQ154" s="268"/>
      <c r="AR154" s="268"/>
      <c r="AS154" s="268"/>
      <c r="AT154" s="268"/>
      <c r="AU154" s="268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8"/>
      <c r="BF154" s="268"/>
      <c r="BG154" s="268"/>
      <c r="BH154" s="268"/>
      <c r="BI154" s="268"/>
      <c r="BJ154" s="268"/>
      <c r="BK154" s="268"/>
      <c r="BL154" s="268"/>
      <c r="BM154" s="268"/>
      <c r="BN154" s="268"/>
      <c r="BO154" s="268"/>
      <c r="BP154" s="268"/>
      <c r="BQ154" s="268"/>
      <c r="BR154" s="268"/>
      <c r="BS154" s="268"/>
      <c r="BT154" s="268"/>
      <c r="BU154" s="268"/>
      <c r="BV154" s="268"/>
      <c r="BW154" s="268"/>
      <c r="BX154" s="268"/>
      <c r="BY154" s="268"/>
      <c r="BZ154" s="268"/>
      <c r="CA154" s="268"/>
      <c r="CB154" s="268"/>
      <c r="CC154" s="268"/>
      <c r="CD154" s="268"/>
      <c r="CE154" s="268"/>
      <c r="CF154" s="268"/>
      <c r="CG154" s="268"/>
      <c r="CH154" s="268"/>
      <c r="CI154" s="268"/>
      <c r="CJ154" s="268"/>
      <c r="CK154" s="268"/>
      <c r="CL154" s="268"/>
      <c r="CM154" s="268"/>
      <c r="CN154" s="268"/>
      <c r="CO154" s="268"/>
      <c r="CP154" s="268"/>
      <c r="CQ154" s="268"/>
      <c r="CR154" s="268"/>
      <c r="CS154" s="268"/>
      <c r="CT154" s="268"/>
      <c r="CU154" s="268"/>
      <c r="CV154" s="268"/>
      <c r="CW154" s="268"/>
      <c r="CX154" s="268"/>
      <c r="CY154" s="268"/>
      <c r="CZ154" s="268"/>
      <c r="DA154" s="268"/>
      <c r="DB154" s="268"/>
      <c r="DC154" s="268"/>
      <c r="DD154" s="268"/>
      <c r="DE154" s="268"/>
      <c r="DF154" s="268"/>
      <c r="DG154" s="268"/>
      <c r="DH154" s="268"/>
      <c r="DI154" s="268"/>
      <c r="DJ154" s="268"/>
      <c r="DK154" s="268"/>
      <c r="DL154" s="268"/>
      <c r="DM154" s="268"/>
      <c r="DN154" s="268"/>
      <c r="DO154" s="268"/>
      <c r="DP154" s="268"/>
      <c r="DQ154" s="268"/>
      <c r="DR154" s="268"/>
      <c r="DS154" s="268"/>
      <c r="DT154" s="268"/>
      <c r="DU154" s="268"/>
      <c r="DV154" s="268"/>
      <c r="DW154" s="344"/>
      <c r="DX154" s="344"/>
      <c r="DY154" s="344"/>
      <c r="DZ154" s="344"/>
      <c r="EA154" s="344"/>
      <c r="EB154" s="344"/>
      <c r="EC154" s="344"/>
      <c r="ED154" s="344"/>
      <c r="EE154" s="344"/>
      <c r="EF154" s="344"/>
      <c r="EG154" s="344"/>
      <c r="EH154" s="344"/>
    </row>
    <row r="155" spans="1:138" hidden="1">
      <c r="A155" s="268"/>
      <c r="B155" s="342"/>
      <c r="E155" s="268"/>
      <c r="F155" s="268"/>
      <c r="G155" s="268"/>
      <c r="H155" s="268"/>
      <c r="I155" s="268"/>
      <c r="J155" s="268"/>
      <c r="K155" s="268"/>
      <c r="L155" s="268"/>
      <c r="M155" s="268"/>
      <c r="N155" s="268"/>
      <c r="O155" s="268"/>
      <c r="P155" s="268"/>
      <c r="Q155" s="268"/>
      <c r="R155" s="268"/>
      <c r="S155" s="268"/>
      <c r="T155" s="268"/>
      <c r="U155" s="268"/>
      <c r="V155" s="268"/>
      <c r="W155" s="268"/>
      <c r="X155" s="268"/>
      <c r="Y155" s="268"/>
      <c r="Z155" s="268"/>
      <c r="AA155" s="268"/>
      <c r="AB155" s="268"/>
      <c r="AC155" s="268"/>
      <c r="AD155" s="268"/>
      <c r="AE155" s="268"/>
      <c r="AF155" s="268"/>
      <c r="AG155" s="268"/>
      <c r="AH155" s="268"/>
      <c r="AI155" s="268"/>
      <c r="AJ155" s="268"/>
      <c r="AK155" s="268"/>
      <c r="AL155" s="268"/>
      <c r="AM155" s="268"/>
      <c r="AN155" s="268"/>
      <c r="AO155" s="268"/>
      <c r="AP155" s="268"/>
      <c r="AQ155" s="268"/>
      <c r="AR155" s="268"/>
      <c r="AS155" s="268"/>
      <c r="AT155" s="268"/>
      <c r="AU155" s="268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8"/>
      <c r="BF155" s="268"/>
      <c r="BG155" s="268"/>
      <c r="BH155" s="268"/>
      <c r="BI155" s="268"/>
      <c r="BJ155" s="268"/>
      <c r="BK155" s="268"/>
      <c r="BL155" s="268"/>
      <c r="BM155" s="268"/>
      <c r="BN155" s="268"/>
      <c r="BO155" s="268"/>
      <c r="BP155" s="268"/>
      <c r="BQ155" s="268"/>
      <c r="BR155" s="268"/>
      <c r="BS155" s="268"/>
      <c r="BT155" s="268"/>
      <c r="BU155" s="268"/>
      <c r="BV155" s="268"/>
      <c r="BW155" s="268"/>
      <c r="BX155" s="268"/>
      <c r="BY155" s="268"/>
      <c r="BZ155" s="268"/>
      <c r="CA155" s="268"/>
      <c r="CB155" s="268"/>
      <c r="CC155" s="268"/>
      <c r="CD155" s="268"/>
      <c r="CE155" s="268"/>
      <c r="CF155" s="268"/>
      <c r="CG155" s="268"/>
      <c r="CH155" s="268"/>
      <c r="CI155" s="268"/>
      <c r="CJ155" s="268"/>
      <c r="CK155" s="268"/>
      <c r="CL155" s="268"/>
      <c r="CM155" s="268"/>
      <c r="CN155" s="268"/>
      <c r="CO155" s="268"/>
      <c r="CP155" s="268"/>
      <c r="CQ155" s="268"/>
      <c r="CR155" s="268"/>
      <c r="CS155" s="268"/>
      <c r="CT155" s="268"/>
      <c r="CU155" s="268"/>
      <c r="CV155" s="268"/>
      <c r="CW155" s="268"/>
      <c r="CX155" s="268"/>
      <c r="CY155" s="268"/>
      <c r="CZ155" s="268"/>
      <c r="DA155" s="268"/>
      <c r="DB155" s="268"/>
      <c r="DC155" s="268"/>
      <c r="DD155" s="268"/>
      <c r="DE155" s="268"/>
      <c r="DF155" s="268"/>
      <c r="DG155" s="268"/>
      <c r="DH155" s="268"/>
      <c r="DI155" s="268"/>
      <c r="DJ155" s="268"/>
      <c r="DK155" s="268"/>
      <c r="DL155" s="268"/>
      <c r="DM155" s="268"/>
      <c r="DN155" s="268"/>
      <c r="DO155" s="268"/>
      <c r="DP155" s="268"/>
      <c r="DQ155" s="268"/>
      <c r="DR155" s="268"/>
      <c r="DS155" s="268"/>
      <c r="DT155" s="268"/>
      <c r="DU155" s="268"/>
      <c r="DV155" s="268"/>
      <c r="DW155" s="344"/>
      <c r="DX155" s="344"/>
      <c r="DY155" s="344"/>
      <c r="DZ155" s="344"/>
      <c r="EA155" s="344"/>
      <c r="EB155" s="344"/>
      <c r="EC155" s="344"/>
      <c r="ED155" s="344"/>
      <c r="EE155" s="344"/>
      <c r="EF155" s="344"/>
      <c r="EG155" s="344"/>
      <c r="EH155" s="344"/>
    </row>
    <row r="156" spans="1:138" hidden="1">
      <c r="A156" s="268"/>
      <c r="B156" s="342"/>
      <c r="E156" s="268"/>
      <c r="F156" s="268"/>
      <c r="G156" s="268"/>
      <c r="H156" s="268"/>
      <c r="I156" s="268"/>
      <c r="J156" s="268"/>
      <c r="K156" s="268"/>
      <c r="L156" s="268"/>
      <c r="M156" s="268"/>
      <c r="N156" s="268"/>
      <c r="O156" s="268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268"/>
      <c r="AE156" s="268"/>
      <c r="AF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8"/>
      <c r="BF156" s="268"/>
      <c r="BG156" s="268"/>
      <c r="BH156" s="268"/>
      <c r="BI156" s="268"/>
      <c r="BJ156" s="268"/>
      <c r="BK156" s="268"/>
      <c r="BL156" s="268"/>
      <c r="BM156" s="268"/>
      <c r="BN156" s="268"/>
      <c r="BO156" s="268"/>
      <c r="BP156" s="268"/>
      <c r="BQ156" s="268"/>
      <c r="BR156" s="268"/>
      <c r="BS156" s="268"/>
      <c r="BT156" s="268"/>
      <c r="BU156" s="268"/>
      <c r="BV156" s="268"/>
      <c r="BW156" s="268"/>
      <c r="BX156" s="268"/>
      <c r="BY156" s="268"/>
      <c r="BZ156" s="268"/>
      <c r="CA156" s="268"/>
      <c r="CB156" s="268"/>
      <c r="CC156" s="268"/>
      <c r="CD156" s="268"/>
      <c r="CE156" s="268"/>
      <c r="CF156" s="268"/>
      <c r="CG156" s="268"/>
      <c r="CH156" s="268"/>
      <c r="CI156" s="268"/>
      <c r="CJ156" s="268"/>
      <c r="CK156" s="268"/>
      <c r="CL156" s="268"/>
      <c r="CM156" s="268"/>
      <c r="CN156" s="268"/>
      <c r="CO156" s="268"/>
      <c r="CP156" s="268"/>
      <c r="CQ156" s="268"/>
      <c r="CR156" s="268"/>
      <c r="CS156" s="268"/>
      <c r="CT156" s="268"/>
      <c r="CU156" s="268"/>
      <c r="CV156" s="268"/>
      <c r="CW156" s="268"/>
      <c r="CX156" s="268"/>
      <c r="CY156" s="268"/>
      <c r="CZ156" s="268"/>
      <c r="DA156" s="268"/>
      <c r="DB156" s="268"/>
      <c r="DC156" s="268"/>
      <c r="DD156" s="268"/>
      <c r="DE156" s="268"/>
      <c r="DF156" s="268"/>
      <c r="DG156" s="268"/>
      <c r="DH156" s="268"/>
      <c r="DI156" s="268"/>
      <c r="DJ156" s="268"/>
      <c r="DK156" s="268"/>
      <c r="DL156" s="268"/>
      <c r="DM156" s="268"/>
      <c r="DN156" s="268"/>
      <c r="DO156" s="268"/>
      <c r="DP156" s="268"/>
      <c r="DQ156" s="268"/>
      <c r="DR156" s="268"/>
      <c r="DS156" s="268"/>
      <c r="DT156" s="268"/>
      <c r="DU156" s="268"/>
      <c r="DV156" s="268"/>
      <c r="DW156" s="344"/>
      <c r="DX156" s="344"/>
      <c r="DY156" s="344"/>
      <c r="DZ156" s="344"/>
      <c r="EA156" s="344"/>
      <c r="EB156" s="344"/>
      <c r="EC156" s="344"/>
      <c r="ED156" s="344"/>
      <c r="EE156" s="344"/>
      <c r="EF156" s="344"/>
      <c r="EG156" s="344"/>
      <c r="EH156" s="344"/>
    </row>
    <row r="157" spans="1:138" hidden="1">
      <c r="A157" s="268"/>
      <c r="B157" s="342"/>
      <c r="E157" s="268"/>
      <c r="F157" s="268"/>
      <c r="G157" s="268"/>
      <c r="H157" s="268"/>
      <c r="I157" s="268"/>
      <c r="J157" s="268"/>
      <c r="K157" s="268"/>
      <c r="L157" s="268"/>
      <c r="M157" s="268"/>
      <c r="N157" s="268"/>
      <c r="O157" s="268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268"/>
      <c r="AE157" s="268"/>
      <c r="AF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  <c r="AZ157" s="268"/>
      <c r="BA157" s="268"/>
      <c r="BB157" s="268"/>
      <c r="BC157" s="268"/>
      <c r="BD157" s="268"/>
      <c r="BE157" s="268"/>
      <c r="BF157" s="268"/>
      <c r="BG157" s="268"/>
      <c r="BH157" s="268"/>
      <c r="BI157" s="268"/>
      <c r="BJ157" s="268"/>
      <c r="BK157" s="268"/>
      <c r="BL157" s="268"/>
      <c r="BM157" s="268"/>
      <c r="BN157" s="268"/>
      <c r="BO157" s="268"/>
      <c r="BP157" s="268"/>
      <c r="BQ157" s="268"/>
      <c r="BR157" s="268"/>
      <c r="BS157" s="268"/>
      <c r="BT157" s="268"/>
      <c r="BU157" s="268"/>
      <c r="BV157" s="268"/>
      <c r="BW157" s="268"/>
      <c r="BX157" s="268"/>
      <c r="BY157" s="268"/>
      <c r="BZ157" s="268"/>
      <c r="CA157" s="268"/>
      <c r="CB157" s="268"/>
      <c r="CC157" s="268"/>
      <c r="CD157" s="268"/>
      <c r="CE157" s="268"/>
      <c r="CF157" s="268"/>
      <c r="CG157" s="268"/>
      <c r="CH157" s="268"/>
      <c r="CI157" s="268"/>
      <c r="CJ157" s="268"/>
      <c r="CK157" s="268"/>
      <c r="CL157" s="268"/>
      <c r="CM157" s="268"/>
      <c r="CN157" s="268"/>
      <c r="CO157" s="268"/>
      <c r="CP157" s="268"/>
      <c r="CQ157" s="268"/>
      <c r="CR157" s="268"/>
      <c r="CS157" s="268"/>
      <c r="CT157" s="268"/>
      <c r="CU157" s="268"/>
      <c r="CV157" s="268"/>
      <c r="CW157" s="268"/>
      <c r="CX157" s="268"/>
      <c r="CY157" s="268"/>
      <c r="CZ157" s="268"/>
      <c r="DA157" s="268"/>
      <c r="DB157" s="268"/>
      <c r="DC157" s="268"/>
      <c r="DD157" s="268"/>
      <c r="DE157" s="268"/>
      <c r="DF157" s="268"/>
      <c r="DG157" s="268"/>
      <c r="DH157" s="268"/>
      <c r="DI157" s="268"/>
      <c r="DJ157" s="268"/>
      <c r="DK157" s="268"/>
      <c r="DL157" s="268"/>
      <c r="DM157" s="268"/>
      <c r="DN157" s="268"/>
      <c r="DO157" s="268"/>
      <c r="DP157" s="268"/>
      <c r="DQ157" s="268"/>
      <c r="DR157" s="268"/>
      <c r="DS157" s="268"/>
      <c r="DT157" s="268"/>
      <c r="DU157" s="268"/>
      <c r="DV157" s="268"/>
      <c r="DW157" s="344"/>
      <c r="DX157" s="344"/>
      <c r="DY157" s="344"/>
      <c r="DZ157" s="344"/>
      <c r="EA157" s="344"/>
      <c r="EB157" s="344"/>
      <c r="EC157" s="344"/>
      <c r="ED157" s="344"/>
      <c r="EE157" s="344"/>
      <c r="EF157" s="344"/>
      <c r="EG157" s="344"/>
      <c r="EH157" s="344"/>
    </row>
    <row r="158" spans="1:138" hidden="1">
      <c r="A158" s="268"/>
      <c r="B158" s="342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268"/>
      <c r="S158" s="268"/>
      <c r="T158" s="268"/>
      <c r="U158" s="268"/>
      <c r="V158" s="268"/>
      <c r="W158" s="268"/>
      <c r="X158" s="268"/>
      <c r="Y158" s="268"/>
      <c r="Z158" s="268"/>
      <c r="AA158" s="268"/>
      <c r="AB158" s="268"/>
      <c r="AC158" s="268"/>
      <c r="AD158" s="268"/>
      <c r="AE158" s="268"/>
      <c r="AF158" s="268"/>
      <c r="AG158" s="268"/>
      <c r="AH158" s="268"/>
      <c r="AI158" s="268"/>
      <c r="AJ158" s="268"/>
      <c r="AK158" s="268"/>
      <c r="AL158" s="268"/>
      <c r="AM158" s="268"/>
      <c r="AN158" s="268"/>
      <c r="AO158" s="268"/>
      <c r="AP158" s="268"/>
      <c r="AQ158" s="268"/>
      <c r="AR158" s="268"/>
      <c r="AS158" s="268"/>
      <c r="AT158" s="268"/>
      <c r="AU158" s="268"/>
      <c r="AV158" s="268"/>
      <c r="AW158" s="268"/>
      <c r="AX158" s="268"/>
      <c r="AY158" s="268"/>
      <c r="AZ158" s="268"/>
      <c r="BA158" s="268"/>
      <c r="BB158" s="268"/>
      <c r="BC158" s="268"/>
      <c r="BD158" s="268"/>
      <c r="BE158" s="268"/>
      <c r="BF158" s="268"/>
      <c r="BG158" s="268"/>
      <c r="BH158" s="268"/>
      <c r="BI158" s="268"/>
      <c r="BJ158" s="268"/>
      <c r="BK158" s="268"/>
      <c r="BL158" s="268"/>
      <c r="BM158" s="268"/>
      <c r="BN158" s="268"/>
      <c r="BO158" s="268"/>
      <c r="BP158" s="268"/>
      <c r="BQ158" s="268"/>
      <c r="BR158" s="268"/>
      <c r="BS158" s="268"/>
      <c r="BT158" s="268"/>
      <c r="BU158" s="268"/>
      <c r="BV158" s="268"/>
      <c r="BW158" s="268"/>
      <c r="BX158" s="268"/>
      <c r="BY158" s="268"/>
      <c r="BZ158" s="268"/>
      <c r="CA158" s="268"/>
      <c r="CB158" s="268"/>
      <c r="CC158" s="268"/>
      <c r="CD158" s="268"/>
      <c r="CE158" s="268"/>
      <c r="CF158" s="268"/>
      <c r="CG158" s="268"/>
      <c r="CH158" s="268"/>
      <c r="CI158" s="268"/>
      <c r="CJ158" s="268"/>
      <c r="CK158" s="268"/>
      <c r="CL158" s="268"/>
      <c r="CM158" s="268"/>
      <c r="CN158" s="268"/>
      <c r="CO158" s="268"/>
      <c r="CP158" s="268"/>
      <c r="CQ158" s="268"/>
      <c r="CR158" s="268"/>
      <c r="CS158" s="268"/>
      <c r="CT158" s="268"/>
      <c r="CU158" s="268"/>
      <c r="CV158" s="268"/>
      <c r="CW158" s="268"/>
      <c r="CX158" s="268"/>
      <c r="CY158" s="268"/>
      <c r="CZ158" s="268"/>
      <c r="DA158" s="268"/>
      <c r="DB158" s="268"/>
      <c r="DC158" s="268"/>
      <c r="DD158" s="268"/>
      <c r="DE158" s="268"/>
      <c r="DF158" s="268"/>
      <c r="DG158" s="268"/>
      <c r="DH158" s="268"/>
      <c r="DI158" s="268"/>
      <c r="DJ158" s="268"/>
      <c r="DK158" s="268"/>
      <c r="DL158" s="268"/>
      <c r="DM158" s="268"/>
      <c r="DN158" s="268"/>
      <c r="DO158" s="268"/>
      <c r="DP158" s="268"/>
      <c r="DQ158" s="268"/>
      <c r="DR158" s="268"/>
      <c r="DS158" s="268"/>
      <c r="DT158" s="268"/>
      <c r="DU158" s="268"/>
      <c r="DV158" s="268"/>
      <c r="DW158" s="344"/>
      <c r="DX158" s="344"/>
      <c r="DY158" s="344"/>
      <c r="DZ158" s="344"/>
      <c r="EA158" s="344"/>
      <c r="EB158" s="344"/>
      <c r="EC158" s="344"/>
      <c r="ED158" s="344"/>
      <c r="EE158" s="344"/>
      <c r="EF158" s="344"/>
      <c r="EG158" s="344"/>
      <c r="EH158" s="344"/>
    </row>
    <row r="159" spans="1:138" hidden="1">
      <c r="A159" s="268"/>
      <c r="B159" s="342"/>
      <c r="C159" s="339" t="s">
        <v>346</v>
      </c>
      <c r="D159" s="515"/>
      <c r="E159" s="516">
        <f t="shared" ref="E159:AF159" si="58">-(E8+E93)</f>
        <v>0</v>
      </c>
      <c r="F159" s="516">
        <f t="shared" si="58"/>
        <v>0</v>
      </c>
      <c r="G159" s="516">
        <f t="shared" si="58"/>
        <v>0</v>
      </c>
      <c r="H159" s="516">
        <f t="shared" si="58"/>
        <v>0</v>
      </c>
      <c r="I159" s="516">
        <f t="shared" si="58"/>
        <v>0</v>
      </c>
      <c r="J159" s="516">
        <f t="shared" si="58"/>
        <v>0</v>
      </c>
      <c r="K159" s="516">
        <f t="shared" si="58"/>
        <v>0</v>
      </c>
      <c r="L159" s="516">
        <f t="shared" si="58"/>
        <v>0</v>
      </c>
      <c r="M159" s="516">
        <f t="shared" si="58"/>
        <v>0</v>
      </c>
      <c r="N159" s="516">
        <f t="shared" si="58"/>
        <v>0</v>
      </c>
      <c r="O159" s="516">
        <f t="shared" si="58"/>
        <v>0</v>
      </c>
      <c r="P159" s="516">
        <f t="shared" si="58"/>
        <v>0</v>
      </c>
      <c r="Q159" s="516">
        <f t="shared" si="58"/>
        <v>0</v>
      </c>
      <c r="R159" s="516">
        <f t="shared" si="58"/>
        <v>0</v>
      </c>
      <c r="S159" s="516">
        <f t="shared" si="58"/>
        <v>0</v>
      </c>
      <c r="T159" s="516">
        <f t="shared" si="58"/>
        <v>0</v>
      </c>
      <c r="U159" s="516">
        <f t="shared" si="58"/>
        <v>0</v>
      </c>
      <c r="V159" s="516">
        <f t="shared" si="58"/>
        <v>0</v>
      </c>
      <c r="W159" s="516">
        <f t="shared" si="58"/>
        <v>0</v>
      </c>
      <c r="X159" s="516">
        <f t="shared" si="58"/>
        <v>0</v>
      </c>
      <c r="Y159" s="516">
        <f t="shared" si="58"/>
        <v>0</v>
      </c>
      <c r="Z159" s="516">
        <f t="shared" si="58"/>
        <v>0</v>
      </c>
      <c r="AA159" s="516">
        <f t="shared" si="58"/>
        <v>0</v>
      </c>
      <c r="AB159" s="516">
        <f t="shared" si="58"/>
        <v>0</v>
      </c>
      <c r="AC159" s="516">
        <f t="shared" si="58"/>
        <v>0</v>
      </c>
      <c r="AD159" s="516">
        <f t="shared" si="58"/>
        <v>0</v>
      </c>
      <c r="AE159" s="516">
        <f t="shared" si="58"/>
        <v>0</v>
      </c>
      <c r="AF159" s="516">
        <f t="shared" si="58"/>
        <v>0</v>
      </c>
      <c r="AG159" s="516"/>
      <c r="AH159" s="516"/>
      <c r="AI159" s="516"/>
      <c r="AJ159" s="516"/>
      <c r="AK159" s="516">
        <f t="shared" ref="AK159:BX159" si="59">-(AK8+AK93)</f>
        <v>0</v>
      </c>
      <c r="AL159" s="516">
        <f t="shared" si="59"/>
        <v>0</v>
      </c>
      <c r="AM159" s="516">
        <f t="shared" si="59"/>
        <v>0</v>
      </c>
      <c r="AN159" s="516">
        <f t="shared" si="59"/>
        <v>0</v>
      </c>
      <c r="AO159" s="516">
        <f t="shared" si="59"/>
        <v>0</v>
      </c>
      <c r="AP159" s="516">
        <f t="shared" si="59"/>
        <v>0</v>
      </c>
      <c r="AQ159" s="516">
        <f t="shared" si="59"/>
        <v>0</v>
      </c>
      <c r="AR159" s="516">
        <f t="shared" si="59"/>
        <v>0</v>
      </c>
      <c r="AS159" s="516">
        <f t="shared" si="59"/>
        <v>0</v>
      </c>
      <c r="AT159" s="516">
        <f t="shared" si="59"/>
        <v>0</v>
      </c>
      <c r="AU159" s="516">
        <f t="shared" si="59"/>
        <v>0</v>
      </c>
      <c r="AV159" s="516">
        <f t="shared" si="59"/>
        <v>0</v>
      </c>
      <c r="AW159" s="516">
        <f t="shared" si="59"/>
        <v>0</v>
      </c>
      <c r="AX159" s="516">
        <f t="shared" si="59"/>
        <v>0</v>
      </c>
      <c r="AY159" s="516">
        <f t="shared" si="59"/>
        <v>0</v>
      </c>
      <c r="AZ159" s="516">
        <f t="shared" si="59"/>
        <v>0</v>
      </c>
      <c r="BA159" s="516">
        <f t="shared" si="59"/>
        <v>0</v>
      </c>
      <c r="BB159" s="516">
        <f t="shared" si="59"/>
        <v>0</v>
      </c>
      <c r="BC159" s="516">
        <f t="shared" si="59"/>
        <v>0</v>
      </c>
      <c r="BD159" s="516">
        <f t="shared" si="59"/>
        <v>0</v>
      </c>
      <c r="BE159" s="516">
        <f t="shared" si="59"/>
        <v>0</v>
      </c>
      <c r="BF159" s="516">
        <f t="shared" si="59"/>
        <v>0</v>
      </c>
      <c r="BG159" s="516">
        <f t="shared" si="59"/>
        <v>0</v>
      </c>
      <c r="BH159" s="516">
        <f t="shared" si="59"/>
        <v>0</v>
      </c>
      <c r="BI159" s="516">
        <f t="shared" si="59"/>
        <v>0</v>
      </c>
      <c r="BJ159" s="516">
        <f t="shared" si="59"/>
        <v>0</v>
      </c>
      <c r="BK159" s="516">
        <f t="shared" si="59"/>
        <v>0</v>
      </c>
      <c r="BL159" s="516">
        <f t="shared" si="59"/>
        <v>0</v>
      </c>
      <c r="BM159" s="516">
        <f t="shared" si="59"/>
        <v>0</v>
      </c>
      <c r="BN159" s="516">
        <f t="shared" si="59"/>
        <v>0</v>
      </c>
      <c r="BO159" s="516">
        <f t="shared" si="59"/>
        <v>0</v>
      </c>
      <c r="BP159" s="516">
        <f t="shared" si="59"/>
        <v>0</v>
      </c>
      <c r="BQ159" s="516">
        <f t="shared" si="59"/>
        <v>0</v>
      </c>
      <c r="BR159" s="516">
        <f t="shared" si="59"/>
        <v>0</v>
      </c>
      <c r="BS159" s="516">
        <f t="shared" si="59"/>
        <v>0</v>
      </c>
      <c r="BT159" s="516">
        <f t="shared" si="59"/>
        <v>0</v>
      </c>
      <c r="BU159" s="516">
        <f t="shared" si="59"/>
        <v>0</v>
      </c>
      <c r="BV159" s="516">
        <f t="shared" si="59"/>
        <v>0</v>
      </c>
      <c r="BW159" s="516">
        <f t="shared" si="59"/>
        <v>0</v>
      </c>
      <c r="BX159" s="516">
        <f t="shared" si="59"/>
        <v>0</v>
      </c>
      <c r="BY159" s="268"/>
      <c r="BZ159" s="268"/>
      <c r="CA159" s="268"/>
      <c r="CB159" s="268"/>
      <c r="CC159" s="268"/>
      <c r="CD159" s="268"/>
      <c r="CE159" s="268"/>
      <c r="CF159" s="268"/>
      <c r="CG159" s="268"/>
      <c r="CH159" s="268"/>
      <c r="CI159" s="268"/>
      <c r="CJ159" s="268"/>
      <c r="CK159" s="268"/>
      <c r="CL159" s="268"/>
      <c r="CM159" s="268"/>
      <c r="CN159" s="268"/>
      <c r="CO159" s="268"/>
      <c r="CP159" s="268"/>
      <c r="CQ159" s="268"/>
      <c r="CR159" s="268"/>
      <c r="CS159" s="268"/>
      <c r="CT159" s="268"/>
      <c r="CU159" s="268"/>
      <c r="CV159" s="268"/>
      <c r="CW159" s="268"/>
      <c r="CX159" s="268"/>
      <c r="CY159" s="268"/>
      <c r="CZ159" s="268"/>
      <c r="DA159" s="268"/>
      <c r="DB159" s="268"/>
      <c r="DC159" s="268"/>
      <c r="DD159" s="268"/>
      <c r="DE159" s="268"/>
      <c r="DF159" s="268"/>
      <c r="DG159" s="268"/>
      <c r="DH159" s="268"/>
      <c r="DI159" s="268"/>
      <c r="DJ159" s="268"/>
      <c r="DK159" s="268"/>
      <c r="DL159" s="268"/>
      <c r="DM159" s="268"/>
      <c r="DN159" s="268"/>
      <c r="DO159" s="268"/>
      <c r="DP159" s="268"/>
      <c r="DQ159" s="268"/>
      <c r="DR159" s="268"/>
      <c r="DS159" s="268"/>
      <c r="DT159" s="268"/>
      <c r="DU159" s="268"/>
      <c r="DV159" s="268"/>
      <c r="DW159" s="268"/>
      <c r="DX159" s="268"/>
      <c r="DY159" s="268"/>
      <c r="DZ159" s="268"/>
      <c r="EA159" s="268"/>
      <c r="EB159" s="268"/>
      <c r="EC159" s="268"/>
      <c r="ED159" s="268"/>
      <c r="EE159" s="268"/>
      <c r="EF159" s="268"/>
      <c r="EG159" s="268"/>
      <c r="EH159" s="268"/>
    </row>
    <row r="160" spans="1:138" hidden="1">
      <c r="A160" s="268"/>
      <c r="B160" s="342"/>
      <c r="C160" s="339" t="s">
        <v>342</v>
      </c>
      <c r="D160" s="520"/>
      <c r="E160" s="515"/>
      <c r="F160" s="515"/>
      <c r="G160" s="515"/>
      <c r="H160" s="515"/>
      <c r="I160" s="515"/>
      <c r="J160" s="515"/>
      <c r="K160" s="515"/>
      <c r="L160" s="515"/>
      <c r="M160" s="515"/>
      <c r="N160" s="515"/>
      <c r="O160" s="515"/>
      <c r="P160" s="515"/>
      <c r="Q160" s="515"/>
      <c r="R160" s="515"/>
      <c r="S160" s="515"/>
      <c r="T160" s="515"/>
      <c r="U160" s="515"/>
      <c r="V160" s="515"/>
      <c r="W160" s="515"/>
      <c r="X160" s="515"/>
      <c r="Y160" s="515"/>
      <c r="Z160" s="515"/>
      <c r="AA160" s="515"/>
      <c r="AB160" s="515"/>
      <c r="AC160" s="515"/>
      <c r="AD160" s="515"/>
      <c r="AE160" s="515"/>
      <c r="AF160" s="515"/>
      <c r="AG160" s="515"/>
      <c r="AH160" s="515"/>
      <c r="AI160" s="515"/>
      <c r="AJ160" s="515"/>
      <c r="AK160" s="515"/>
      <c r="AL160" s="515"/>
      <c r="AM160" s="515"/>
      <c r="AN160" s="515"/>
      <c r="AO160" s="515"/>
      <c r="AP160" s="515"/>
      <c r="AQ160" s="515"/>
      <c r="AR160" s="515"/>
      <c r="AS160" s="515"/>
      <c r="AT160" s="515"/>
      <c r="AU160" s="515"/>
      <c r="AV160" s="515"/>
      <c r="AW160" s="515"/>
      <c r="AX160" s="515"/>
      <c r="AY160" s="515"/>
      <c r="AZ160" s="515"/>
      <c r="BA160" s="515"/>
      <c r="BB160" s="515"/>
      <c r="BC160" s="516"/>
      <c r="BD160" s="515"/>
      <c r="BE160" s="515"/>
      <c r="BF160" s="515"/>
      <c r="BG160" s="515"/>
      <c r="BH160" s="515"/>
      <c r="BI160" s="515"/>
      <c r="BJ160" s="515"/>
      <c r="BK160" s="515"/>
      <c r="BL160" s="515"/>
      <c r="BM160" s="515"/>
      <c r="BN160" s="515"/>
      <c r="BO160" s="515"/>
      <c r="BP160" s="515"/>
      <c r="BQ160" s="515"/>
      <c r="BR160" s="515"/>
      <c r="BS160" s="515"/>
      <c r="BT160" s="515"/>
      <c r="BU160" s="515"/>
      <c r="BV160" s="515"/>
      <c r="BW160" s="515"/>
      <c r="BX160" s="515"/>
      <c r="BY160" s="336"/>
      <c r="BZ160" s="336"/>
      <c r="CA160" s="268"/>
      <c r="CB160" s="268"/>
      <c r="CC160" s="268"/>
      <c r="CD160" s="268"/>
      <c r="CE160" s="268"/>
      <c r="CF160" s="268"/>
      <c r="CG160" s="268"/>
      <c r="CH160" s="268"/>
      <c r="CI160" s="268"/>
      <c r="CJ160" s="268"/>
      <c r="CK160" s="268"/>
      <c r="CL160" s="268"/>
      <c r="CM160" s="268"/>
      <c r="CN160" s="268"/>
      <c r="CO160" s="268"/>
      <c r="CP160" s="268"/>
      <c r="CQ160" s="268"/>
      <c r="CR160" s="268"/>
      <c r="CS160" s="268"/>
      <c r="CT160" s="268"/>
      <c r="CU160" s="268"/>
      <c r="CV160" s="268"/>
      <c r="CW160" s="268"/>
      <c r="CX160" s="268"/>
      <c r="CY160" s="268"/>
      <c r="CZ160" s="268"/>
      <c r="DA160" s="268"/>
      <c r="DB160" s="268"/>
      <c r="DC160" s="268"/>
      <c r="DD160" s="268"/>
      <c r="DE160" s="268"/>
      <c r="DF160" s="268"/>
      <c r="DG160" s="268"/>
      <c r="DH160" s="268"/>
      <c r="DI160" s="268"/>
      <c r="DJ160" s="268"/>
      <c r="DK160" s="268"/>
      <c r="DL160" s="268"/>
      <c r="DM160" s="268"/>
      <c r="DN160" s="268"/>
      <c r="DO160" s="268"/>
      <c r="DP160" s="268"/>
      <c r="DQ160" s="268"/>
      <c r="DR160" s="268"/>
      <c r="DS160" s="268"/>
      <c r="DT160" s="268"/>
      <c r="DU160" s="268"/>
      <c r="DV160" s="268"/>
      <c r="DW160" s="268"/>
      <c r="DX160" s="268"/>
      <c r="DY160" s="268"/>
      <c r="DZ160" s="268"/>
      <c r="EA160" s="268"/>
      <c r="EB160" s="268"/>
      <c r="EC160" s="268"/>
      <c r="ED160" s="268"/>
      <c r="EE160" s="268"/>
      <c r="EF160" s="268"/>
      <c r="EG160" s="268"/>
      <c r="EH160" s="268"/>
    </row>
    <row r="161" spans="1:138" hidden="1">
      <c r="A161" s="268"/>
      <c r="B161" s="342"/>
      <c r="C161" s="339" t="s">
        <v>333</v>
      </c>
      <c r="D161" s="520"/>
      <c r="E161" s="515">
        <f t="shared" ref="E161:AF161" si="60">-E58</f>
        <v>0</v>
      </c>
      <c r="F161" s="515">
        <f t="shared" si="60"/>
        <v>0</v>
      </c>
      <c r="G161" s="515">
        <f t="shared" si="60"/>
        <v>0</v>
      </c>
      <c r="H161" s="515">
        <f t="shared" si="60"/>
        <v>0</v>
      </c>
      <c r="I161" s="515">
        <f t="shared" si="60"/>
        <v>0</v>
      </c>
      <c r="J161" s="515">
        <f t="shared" si="60"/>
        <v>0</v>
      </c>
      <c r="K161" s="515">
        <f t="shared" si="60"/>
        <v>0</v>
      </c>
      <c r="L161" s="515">
        <f t="shared" si="60"/>
        <v>0</v>
      </c>
      <c r="M161" s="515">
        <f t="shared" si="60"/>
        <v>0</v>
      </c>
      <c r="N161" s="515">
        <f t="shared" si="60"/>
        <v>0</v>
      </c>
      <c r="O161" s="515">
        <f t="shared" si="60"/>
        <v>0</v>
      </c>
      <c r="P161" s="515">
        <f t="shared" si="60"/>
        <v>0</v>
      </c>
      <c r="Q161" s="515">
        <f t="shared" si="60"/>
        <v>0</v>
      </c>
      <c r="R161" s="515">
        <f t="shared" si="60"/>
        <v>0</v>
      </c>
      <c r="S161" s="515">
        <f t="shared" si="60"/>
        <v>0</v>
      </c>
      <c r="T161" s="515">
        <f t="shared" si="60"/>
        <v>0</v>
      </c>
      <c r="U161" s="515">
        <f t="shared" si="60"/>
        <v>0</v>
      </c>
      <c r="V161" s="515">
        <f t="shared" si="60"/>
        <v>0</v>
      </c>
      <c r="W161" s="515">
        <f t="shared" si="60"/>
        <v>0</v>
      </c>
      <c r="X161" s="515">
        <f t="shared" si="60"/>
        <v>0</v>
      </c>
      <c r="Y161" s="515">
        <f t="shared" si="60"/>
        <v>0</v>
      </c>
      <c r="Z161" s="515">
        <f t="shared" si="60"/>
        <v>0</v>
      </c>
      <c r="AA161" s="515">
        <f t="shared" si="60"/>
        <v>0</v>
      </c>
      <c r="AB161" s="515">
        <f t="shared" si="60"/>
        <v>0</v>
      </c>
      <c r="AC161" s="515">
        <f t="shared" si="60"/>
        <v>0</v>
      </c>
      <c r="AD161" s="515">
        <f t="shared" si="60"/>
        <v>0</v>
      </c>
      <c r="AE161" s="515">
        <f t="shared" si="60"/>
        <v>0</v>
      </c>
      <c r="AF161" s="515">
        <f t="shared" si="60"/>
        <v>0</v>
      </c>
      <c r="AG161" s="515"/>
      <c r="AH161" s="515"/>
      <c r="AI161" s="515"/>
      <c r="AJ161" s="515"/>
      <c r="AK161" s="515">
        <f t="shared" ref="AK161:BX161" si="61">-AK58</f>
        <v>0</v>
      </c>
      <c r="AL161" s="515">
        <f t="shared" si="61"/>
        <v>0</v>
      </c>
      <c r="AM161" s="515">
        <f t="shared" si="61"/>
        <v>0</v>
      </c>
      <c r="AN161" s="515">
        <f t="shared" si="61"/>
        <v>0</v>
      </c>
      <c r="AO161" s="515">
        <f t="shared" si="61"/>
        <v>0</v>
      </c>
      <c r="AP161" s="515">
        <f t="shared" si="61"/>
        <v>0</v>
      </c>
      <c r="AQ161" s="515">
        <f t="shared" si="61"/>
        <v>0</v>
      </c>
      <c r="AR161" s="515">
        <f t="shared" si="61"/>
        <v>0</v>
      </c>
      <c r="AS161" s="515">
        <f t="shared" si="61"/>
        <v>0</v>
      </c>
      <c r="AT161" s="515">
        <f t="shared" si="61"/>
        <v>0</v>
      </c>
      <c r="AU161" s="515">
        <f t="shared" si="61"/>
        <v>0</v>
      </c>
      <c r="AV161" s="515">
        <f t="shared" si="61"/>
        <v>0</v>
      </c>
      <c r="AW161" s="515">
        <f t="shared" si="61"/>
        <v>0</v>
      </c>
      <c r="AX161" s="515">
        <f t="shared" si="61"/>
        <v>0</v>
      </c>
      <c r="AY161" s="515">
        <f t="shared" si="61"/>
        <v>0</v>
      </c>
      <c r="AZ161" s="515">
        <f t="shared" si="61"/>
        <v>0</v>
      </c>
      <c r="BA161" s="515">
        <f t="shared" si="61"/>
        <v>0</v>
      </c>
      <c r="BB161" s="515">
        <f t="shared" si="61"/>
        <v>0</v>
      </c>
      <c r="BC161" s="515">
        <f t="shared" si="61"/>
        <v>0</v>
      </c>
      <c r="BD161" s="515">
        <f t="shared" si="61"/>
        <v>0</v>
      </c>
      <c r="BE161" s="515">
        <f t="shared" si="61"/>
        <v>0</v>
      </c>
      <c r="BF161" s="515">
        <f t="shared" si="61"/>
        <v>0</v>
      </c>
      <c r="BG161" s="515">
        <f t="shared" si="61"/>
        <v>0</v>
      </c>
      <c r="BH161" s="515">
        <f t="shared" si="61"/>
        <v>0</v>
      </c>
      <c r="BI161" s="515">
        <f t="shared" si="61"/>
        <v>0</v>
      </c>
      <c r="BJ161" s="515">
        <f t="shared" si="61"/>
        <v>0</v>
      </c>
      <c r="BK161" s="515">
        <f t="shared" si="61"/>
        <v>0</v>
      </c>
      <c r="BL161" s="515">
        <f t="shared" si="61"/>
        <v>0</v>
      </c>
      <c r="BM161" s="515">
        <f t="shared" si="61"/>
        <v>0</v>
      </c>
      <c r="BN161" s="515">
        <f t="shared" si="61"/>
        <v>0</v>
      </c>
      <c r="BO161" s="515">
        <f t="shared" si="61"/>
        <v>0</v>
      </c>
      <c r="BP161" s="515">
        <f t="shared" si="61"/>
        <v>0</v>
      </c>
      <c r="BQ161" s="515">
        <f t="shared" si="61"/>
        <v>0</v>
      </c>
      <c r="BR161" s="515">
        <f t="shared" si="61"/>
        <v>0</v>
      </c>
      <c r="BS161" s="515">
        <f t="shared" si="61"/>
        <v>0</v>
      </c>
      <c r="BT161" s="515">
        <f t="shared" si="61"/>
        <v>0</v>
      </c>
      <c r="BU161" s="515">
        <f t="shared" si="61"/>
        <v>0</v>
      </c>
      <c r="BV161" s="515">
        <f t="shared" si="61"/>
        <v>0</v>
      </c>
      <c r="BW161" s="515">
        <f t="shared" si="61"/>
        <v>0</v>
      </c>
      <c r="BX161" s="515">
        <f t="shared" si="61"/>
        <v>0</v>
      </c>
      <c r="BY161" s="336"/>
      <c r="BZ161" s="336"/>
      <c r="CA161" s="268"/>
      <c r="CB161" s="268"/>
      <c r="CC161" s="268"/>
      <c r="CD161" s="268"/>
      <c r="CE161" s="268"/>
      <c r="CF161" s="268"/>
      <c r="CG161" s="268"/>
      <c r="CH161" s="268"/>
      <c r="CI161" s="268"/>
      <c r="CJ161" s="268"/>
      <c r="CK161" s="268"/>
      <c r="CL161" s="268"/>
      <c r="CM161" s="268"/>
      <c r="CN161" s="268"/>
      <c r="CO161" s="268"/>
      <c r="CP161" s="268"/>
      <c r="CQ161" s="268"/>
      <c r="CR161" s="268"/>
      <c r="CS161" s="268"/>
      <c r="CT161" s="268"/>
      <c r="CU161" s="268"/>
      <c r="CV161" s="268"/>
      <c r="CW161" s="268"/>
      <c r="CX161" s="268"/>
      <c r="CY161" s="268"/>
      <c r="CZ161" s="268"/>
      <c r="DA161" s="268"/>
      <c r="DB161" s="268"/>
      <c r="DC161" s="268"/>
      <c r="DD161" s="268"/>
      <c r="DE161" s="268"/>
      <c r="DF161" s="268"/>
      <c r="DG161" s="268"/>
      <c r="DH161" s="268"/>
      <c r="DI161" s="268"/>
      <c r="DJ161" s="268"/>
      <c r="DK161" s="268"/>
      <c r="DL161" s="268"/>
      <c r="DM161" s="268"/>
      <c r="DN161" s="268"/>
      <c r="DO161" s="268"/>
      <c r="DP161" s="268"/>
      <c r="DQ161" s="268"/>
      <c r="DR161" s="268"/>
      <c r="DS161" s="268"/>
      <c r="DT161" s="268"/>
      <c r="DU161" s="268"/>
      <c r="DV161" s="268"/>
      <c r="DW161" s="268"/>
      <c r="DX161" s="268"/>
      <c r="DY161" s="268"/>
      <c r="DZ161" s="268"/>
      <c r="EA161" s="268"/>
      <c r="EB161" s="268"/>
      <c r="EC161" s="268"/>
      <c r="ED161" s="268"/>
      <c r="EE161" s="268"/>
      <c r="EF161" s="268"/>
      <c r="EG161" s="268"/>
      <c r="EH161" s="268"/>
    </row>
    <row r="162" spans="1:138" hidden="1">
      <c r="A162" s="268"/>
      <c r="B162" s="342"/>
      <c r="C162" s="339" t="s">
        <v>334</v>
      </c>
      <c r="D162" s="520"/>
      <c r="E162" s="515"/>
      <c r="F162" s="515"/>
      <c r="G162" s="515"/>
      <c r="H162" s="515"/>
      <c r="I162" s="515"/>
      <c r="J162" s="515"/>
      <c r="K162" s="515"/>
      <c r="L162" s="515"/>
      <c r="M162" s="515"/>
      <c r="N162" s="515"/>
      <c r="O162" s="515"/>
      <c r="P162" s="515"/>
      <c r="Q162" s="515"/>
      <c r="R162" s="515"/>
      <c r="S162" s="515"/>
      <c r="T162" s="515"/>
      <c r="U162" s="515"/>
      <c r="V162" s="515"/>
      <c r="W162" s="515"/>
      <c r="X162" s="515"/>
      <c r="Y162" s="515"/>
      <c r="Z162" s="515"/>
      <c r="AA162" s="515"/>
      <c r="AB162" s="515"/>
      <c r="AC162" s="515"/>
      <c r="AD162" s="515"/>
      <c r="AE162" s="515"/>
      <c r="AF162" s="515"/>
      <c r="AG162" s="515"/>
      <c r="AH162" s="515"/>
      <c r="AI162" s="515"/>
      <c r="AJ162" s="515"/>
      <c r="AK162" s="515"/>
      <c r="AL162" s="515"/>
      <c r="AM162" s="515"/>
      <c r="AN162" s="515"/>
      <c r="AO162" s="515"/>
      <c r="AP162" s="515"/>
      <c r="AQ162" s="515"/>
      <c r="AR162" s="515"/>
      <c r="AS162" s="515"/>
      <c r="AT162" s="515"/>
      <c r="AU162" s="515"/>
      <c r="AV162" s="515"/>
      <c r="AW162" s="515"/>
      <c r="AX162" s="515"/>
      <c r="AY162" s="515"/>
      <c r="AZ162" s="515"/>
      <c r="BA162" s="515"/>
      <c r="BB162" s="515"/>
      <c r="BC162" s="516"/>
      <c r="BD162" s="515"/>
      <c r="BE162" s="515"/>
      <c r="BF162" s="515"/>
      <c r="BG162" s="515"/>
      <c r="BH162" s="515"/>
      <c r="BI162" s="515"/>
      <c r="BJ162" s="515"/>
      <c r="BK162" s="515"/>
      <c r="BL162" s="515"/>
      <c r="BM162" s="515"/>
      <c r="BN162" s="515"/>
      <c r="BO162" s="515"/>
      <c r="BP162" s="515"/>
      <c r="BQ162" s="515"/>
      <c r="BR162" s="515"/>
      <c r="BS162" s="515"/>
      <c r="BT162" s="515"/>
      <c r="BU162" s="515"/>
      <c r="BV162" s="515"/>
      <c r="BW162" s="515"/>
      <c r="BX162" s="515" t="e">
        <f>IF(D104&gt;0.25,(BX99-BX107)*D163,BX99*D163)</f>
        <v>#NUM!</v>
      </c>
      <c r="BY162" s="336"/>
      <c r="BZ162" s="336"/>
      <c r="CA162" s="268"/>
      <c r="CB162" s="268"/>
      <c r="CC162" s="268"/>
      <c r="CD162" s="268"/>
      <c r="CE162" s="268"/>
      <c r="CF162" s="268"/>
      <c r="CG162" s="268"/>
      <c r="CH162" s="268"/>
      <c r="CI162" s="268"/>
      <c r="CJ162" s="268"/>
      <c r="CK162" s="268"/>
      <c r="CL162" s="268"/>
      <c r="CM162" s="268"/>
      <c r="CN162" s="268"/>
      <c r="CO162" s="268"/>
      <c r="CP162" s="268"/>
      <c r="CQ162" s="268"/>
      <c r="CR162" s="268"/>
      <c r="CS162" s="268"/>
      <c r="CT162" s="268"/>
      <c r="CU162" s="268"/>
      <c r="CV162" s="268"/>
      <c r="CW162" s="268"/>
      <c r="CX162" s="268"/>
      <c r="CY162" s="268"/>
      <c r="CZ162" s="268"/>
      <c r="DA162" s="268"/>
      <c r="DB162" s="268"/>
      <c r="DC162" s="268"/>
      <c r="DD162" s="268"/>
      <c r="DE162" s="268"/>
      <c r="DF162" s="268"/>
      <c r="DG162" s="268"/>
      <c r="DH162" s="268"/>
      <c r="DI162" s="268"/>
      <c r="DJ162" s="268"/>
      <c r="DK162" s="268"/>
      <c r="DL162" s="268"/>
      <c r="DM162" s="268"/>
      <c r="DN162" s="268"/>
      <c r="DO162" s="268"/>
      <c r="DP162" s="268"/>
      <c r="DQ162" s="268"/>
      <c r="DR162" s="268"/>
      <c r="DS162" s="268"/>
      <c r="DT162" s="268"/>
      <c r="DU162" s="268"/>
      <c r="DV162" s="268"/>
      <c r="DW162" s="268"/>
      <c r="DX162" s="268"/>
      <c r="DY162" s="268"/>
      <c r="DZ162" s="268"/>
      <c r="EA162" s="268"/>
      <c r="EB162" s="268"/>
      <c r="EC162" s="268"/>
      <c r="ED162" s="268"/>
      <c r="EE162" s="268"/>
      <c r="EF162" s="268"/>
      <c r="EG162" s="268"/>
      <c r="EH162" s="268"/>
    </row>
    <row r="163" spans="1:138" hidden="1">
      <c r="A163" s="268"/>
      <c r="B163" s="342"/>
      <c r="C163" s="517" t="s">
        <v>335</v>
      </c>
      <c r="D163" s="520">
        <v>0</v>
      </c>
      <c r="E163" s="515"/>
      <c r="F163" s="515"/>
      <c r="G163" s="515"/>
      <c r="H163" s="515"/>
      <c r="I163" s="515"/>
      <c r="J163" s="515"/>
      <c r="K163" s="515"/>
      <c r="L163" s="515"/>
      <c r="M163" s="515"/>
      <c r="N163" s="515"/>
      <c r="O163" s="515"/>
      <c r="P163" s="515"/>
      <c r="Q163" s="515"/>
      <c r="R163" s="515"/>
      <c r="S163" s="515"/>
      <c r="T163" s="515"/>
      <c r="U163" s="515"/>
      <c r="V163" s="515"/>
      <c r="W163" s="515"/>
      <c r="X163" s="515"/>
      <c r="Y163" s="515"/>
      <c r="Z163" s="515"/>
      <c r="AA163" s="515"/>
      <c r="AB163" s="515"/>
      <c r="AC163" s="515"/>
      <c r="AD163" s="515"/>
      <c r="AE163" s="515"/>
      <c r="AF163" s="515"/>
      <c r="AG163" s="515"/>
      <c r="AH163" s="515"/>
      <c r="AI163" s="515"/>
      <c r="AJ163" s="515"/>
      <c r="AK163" s="515"/>
      <c r="AL163" s="515"/>
      <c r="AM163" s="515"/>
      <c r="AN163" s="515"/>
      <c r="AO163" s="515"/>
      <c r="AP163" s="515"/>
      <c r="AQ163" s="515"/>
      <c r="AR163" s="515"/>
      <c r="AS163" s="515"/>
      <c r="AT163" s="515"/>
      <c r="AU163" s="515"/>
      <c r="AV163" s="515"/>
      <c r="AW163" s="515"/>
      <c r="AX163" s="515"/>
      <c r="AY163" s="515"/>
      <c r="AZ163" s="515"/>
      <c r="BA163" s="515"/>
      <c r="BB163" s="515"/>
      <c r="BC163" s="516"/>
      <c r="BD163" s="515"/>
      <c r="BE163" s="515"/>
      <c r="BF163" s="515"/>
      <c r="BG163" s="515"/>
      <c r="BH163" s="515"/>
      <c r="BI163" s="515"/>
      <c r="BJ163" s="515"/>
      <c r="BK163" s="515"/>
      <c r="BL163" s="515"/>
      <c r="BM163" s="515"/>
      <c r="BN163" s="515"/>
      <c r="BO163" s="515"/>
      <c r="BP163" s="515"/>
      <c r="BQ163" s="515"/>
      <c r="BR163" s="515"/>
      <c r="BS163" s="515"/>
      <c r="BT163" s="515"/>
      <c r="BU163" s="515"/>
      <c r="BV163" s="515"/>
      <c r="BW163" s="515"/>
      <c r="BX163" s="515"/>
      <c r="BY163" s="336"/>
      <c r="BZ163" s="336"/>
      <c r="CA163" s="268"/>
      <c r="CB163" s="268"/>
      <c r="CC163" s="268"/>
      <c r="CD163" s="268"/>
      <c r="CE163" s="268"/>
      <c r="CF163" s="268"/>
      <c r="CG163" s="268"/>
      <c r="CH163" s="268"/>
      <c r="CI163" s="268"/>
      <c r="CJ163" s="268"/>
      <c r="CK163" s="268"/>
      <c r="CL163" s="268"/>
      <c r="CM163" s="268"/>
      <c r="CN163" s="268"/>
      <c r="CO163" s="268"/>
      <c r="CP163" s="268"/>
      <c r="CQ163" s="268"/>
      <c r="CR163" s="268"/>
      <c r="CS163" s="268"/>
      <c r="CT163" s="268"/>
      <c r="CU163" s="268"/>
      <c r="CV163" s="268"/>
      <c r="CW163" s="268"/>
      <c r="CX163" s="268"/>
      <c r="CY163" s="268"/>
      <c r="CZ163" s="268"/>
      <c r="DA163" s="268"/>
      <c r="DB163" s="268"/>
      <c r="DC163" s="268"/>
      <c r="DD163" s="268"/>
      <c r="DE163" s="268"/>
      <c r="DF163" s="268"/>
      <c r="DG163" s="268"/>
      <c r="DH163" s="268"/>
      <c r="DI163" s="268"/>
      <c r="DJ163" s="268"/>
      <c r="DK163" s="268"/>
      <c r="DL163" s="268"/>
      <c r="DM163" s="268"/>
      <c r="DN163" s="268"/>
      <c r="DO163" s="268"/>
      <c r="DP163" s="268"/>
      <c r="DQ163" s="268"/>
      <c r="DR163" s="268"/>
      <c r="DS163" s="268"/>
      <c r="DT163" s="268"/>
      <c r="DU163" s="268"/>
      <c r="DV163" s="268"/>
      <c r="DW163" s="268"/>
      <c r="DX163" s="268"/>
      <c r="DY163" s="268"/>
      <c r="DZ163" s="268"/>
      <c r="EA163" s="268"/>
      <c r="EB163" s="268"/>
      <c r="EC163" s="268"/>
      <c r="ED163" s="268"/>
      <c r="EE163" s="268"/>
      <c r="EF163" s="268"/>
      <c r="EG163" s="268"/>
      <c r="EH163" s="268"/>
    </row>
    <row r="164" spans="1:138" hidden="1">
      <c r="A164" s="268"/>
      <c r="B164" s="342"/>
      <c r="C164" s="339" t="s">
        <v>336</v>
      </c>
      <c r="D164" s="515"/>
      <c r="E164" s="521">
        <f t="shared" ref="E164:AF164" si="62">E159+E160+E161+E162+E163</f>
        <v>0</v>
      </c>
      <c r="F164" s="521">
        <f t="shared" si="62"/>
        <v>0</v>
      </c>
      <c r="G164" s="521">
        <f t="shared" si="62"/>
        <v>0</v>
      </c>
      <c r="H164" s="521">
        <f t="shared" si="62"/>
        <v>0</v>
      </c>
      <c r="I164" s="521">
        <f t="shared" si="62"/>
        <v>0</v>
      </c>
      <c r="J164" s="521">
        <f t="shared" si="62"/>
        <v>0</v>
      </c>
      <c r="K164" s="521">
        <f t="shared" si="62"/>
        <v>0</v>
      </c>
      <c r="L164" s="521">
        <f t="shared" si="62"/>
        <v>0</v>
      </c>
      <c r="M164" s="521">
        <f t="shared" si="62"/>
        <v>0</v>
      </c>
      <c r="N164" s="521">
        <f t="shared" si="62"/>
        <v>0</v>
      </c>
      <c r="O164" s="521">
        <f t="shared" si="62"/>
        <v>0</v>
      </c>
      <c r="P164" s="521">
        <f t="shared" si="62"/>
        <v>0</v>
      </c>
      <c r="Q164" s="521">
        <f t="shared" si="62"/>
        <v>0</v>
      </c>
      <c r="R164" s="521">
        <f t="shared" si="62"/>
        <v>0</v>
      </c>
      <c r="S164" s="521">
        <f t="shared" si="62"/>
        <v>0</v>
      </c>
      <c r="T164" s="521">
        <f t="shared" si="62"/>
        <v>0</v>
      </c>
      <c r="U164" s="521">
        <f t="shared" si="62"/>
        <v>0</v>
      </c>
      <c r="V164" s="521">
        <f t="shared" si="62"/>
        <v>0</v>
      </c>
      <c r="W164" s="521">
        <f t="shared" si="62"/>
        <v>0</v>
      </c>
      <c r="X164" s="521">
        <f t="shared" si="62"/>
        <v>0</v>
      </c>
      <c r="Y164" s="521">
        <f t="shared" si="62"/>
        <v>0</v>
      </c>
      <c r="Z164" s="521">
        <f t="shared" si="62"/>
        <v>0</v>
      </c>
      <c r="AA164" s="521">
        <f t="shared" si="62"/>
        <v>0</v>
      </c>
      <c r="AB164" s="521">
        <f t="shared" si="62"/>
        <v>0</v>
      </c>
      <c r="AC164" s="521">
        <f t="shared" si="62"/>
        <v>0</v>
      </c>
      <c r="AD164" s="521">
        <f t="shared" si="62"/>
        <v>0</v>
      </c>
      <c r="AE164" s="521">
        <f t="shared" si="62"/>
        <v>0</v>
      </c>
      <c r="AF164" s="521">
        <f t="shared" si="62"/>
        <v>0</v>
      </c>
      <c r="AG164" s="521"/>
      <c r="AH164" s="521"/>
      <c r="AI164" s="521"/>
      <c r="AJ164" s="521"/>
      <c r="AK164" s="521">
        <f t="shared" ref="AK164:BX164" si="63">AK159+AK160+AK161+AK162+AK163</f>
        <v>0</v>
      </c>
      <c r="AL164" s="521">
        <f t="shared" si="63"/>
        <v>0</v>
      </c>
      <c r="AM164" s="521">
        <f t="shared" si="63"/>
        <v>0</v>
      </c>
      <c r="AN164" s="521">
        <f t="shared" si="63"/>
        <v>0</v>
      </c>
      <c r="AO164" s="521">
        <f t="shared" si="63"/>
        <v>0</v>
      </c>
      <c r="AP164" s="521">
        <f t="shared" si="63"/>
        <v>0</v>
      </c>
      <c r="AQ164" s="521">
        <f t="shared" si="63"/>
        <v>0</v>
      </c>
      <c r="AR164" s="521">
        <f t="shared" si="63"/>
        <v>0</v>
      </c>
      <c r="AS164" s="521">
        <f t="shared" si="63"/>
        <v>0</v>
      </c>
      <c r="AT164" s="521">
        <f t="shared" si="63"/>
        <v>0</v>
      </c>
      <c r="AU164" s="521">
        <f t="shared" si="63"/>
        <v>0</v>
      </c>
      <c r="AV164" s="521">
        <f t="shared" si="63"/>
        <v>0</v>
      </c>
      <c r="AW164" s="521">
        <f t="shared" si="63"/>
        <v>0</v>
      </c>
      <c r="AX164" s="521">
        <f t="shared" si="63"/>
        <v>0</v>
      </c>
      <c r="AY164" s="521">
        <f t="shared" si="63"/>
        <v>0</v>
      </c>
      <c r="AZ164" s="521">
        <f t="shared" si="63"/>
        <v>0</v>
      </c>
      <c r="BA164" s="521">
        <f t="shared" si="63"/>
        <v>0</v>
      </c>
      <c r="BB164" s="521">
        <f t="shared" si="63"/>
        <v>0</v>
      </c>
      <c r="BC164" s="521">
        <f t="shared" si="63"/>
        <v>0</v>
      </c>
      <c r="BD164" s="521">
        <f t="shared" si="63"/>
        <v>0</v>
      </c>
      <c r="BE164" s="521">
        <f t="shared" si="63"/>
        <v>0</v>
      </c>
      <c r="BF164" s="521">
        <f t="shared" si="63"/>
        <v>0</v>
      </c>
      <c r="BG164" s="521">
        <f t="shared" si="63"/>
        <v>0</v>
      </c>
      <c r="BH164" s="521">
        <f t="shared" si="63"/>
        <v>0</v>
      </c>
      <c r="BI164" s="521">
        <f t="shared" si="63"/>
        <v>0</v>
      </c>
      <c r="BJ164" s="521">
        <f t="shared" si="63"/>
        <v>0</v>
      </c>
      <c r="BK164" s="521">
        <f t="shared" si="63"/>
        <v>0</v>
      </c>
      <c r="BL164" s="521">
        <f t="shared" si="63"/>
        <v>0</v>
      </c>
      <c r="BM164" s="521">
        <f t="shared" si="63"/>
        <v>0</v>
      </c>
      <c r="BN164" s="521">
        <f t="shared" si="63"/>
        <v>0</v>
      </c>
      <c r="BO164" s="521">
        <f t="shared" si="63"/>
        <v>0</v>
      </c>
      <c r="BP164" s="521">
        <f t="shared" si="63"/>
        <v>0</v>
      </c>
      <c r="BQ164" s="521">
        <f t="shared" si="63"/>
        <v>0</v>
      </c>
      <c r="BR164" s="521">
        <f t="shared" si="63"/>
        <v>0</v>
      </c>
      <c r="BS164" s="521">
        <f t="shared" si="63"/>
        <v>0</v>
      </c>
      <c r="BT164" s="521">
        <f t="shared" si="63"/>
        <v>0</v>
      </c>
      <c r="BU164" s="521">
        <f t="shared" si="63"/>
        <v>0</v>
      </c>
      <c r="BV164" s="521">
        <f t="shared" si="63"/>
        <v>0</v>
      </c>
      <c r="BW164" s="521">
        <f t="shared" si="63"/>
        <v>0</v>
      </c>
      <c r="BX164" s="521" t="e">
        <f t="shared" si="63"/>
        <v>#NUM!</v>
      </c>
      <c r="BY164" s="268"/>
      <c r="BZ164" s="268"/>
      <c r="CA164" s="268"/>
      <c r="CB164" s="268"/>
      <c r="CC164" s="268"/>
      <c r="CD164" s="268"/>
      <c r="CE164" s="268"/>
      <c r="CF164" s="268"/>
      <c r="CG164" s="268"/>
      <c r="CH164" s="268"/>
      <c r="CI164" s="268"/>
      <c r="CJ164" s="268"/>
      <c r="CK164" s="268"/>
      <c r="CL164" s="268"/>
      <c r="CM164" s="268"/>
      <c r="CN164" s="268"/>
      <c r="CO164" s="268"/>
      <c r="CP164" s="268"/>
      <c r="CQ164" s="268"/>
      <c r="CR164" s="268"/>
      <c r="CS164" s="268"/>
      <c r="CT164" s="268"/>
      <c r="CU164" s="268"/>
      <c r="CV164" s="268"/>
      <c r="CW164" s="268"/>
      <c r="CX164" s="268"/>
      <c r="CY164" s="268"/>
      <c r="CZ164" s="268"/>
      <c r="DA164" s="268"/>
      <c r="DB164" s="268"/>
      <c r="DC164" s="268"/>
      <c r="DD164" s="268"/>
      <c r="DE164" s="268"/>
      <c r="DF164" s="268"/>
      <c r="DG164" s="268"/>
      <c r="DH164" s="268"/>
      <c r="DI164" s="268"/>
      <c r="DJ164" s="268"/>
      <c r="DK164" s="268"/>
      <c r="DL164" s="268"/>
      <c r="DM164" s="268"/>
      <c r="DN164" s="268"/>
      <c r="DO164" s="268"/>
      <c r="DP164" s="268"/>
      <c r="DQ164" s="268"/>
      <c r="DR164" s="268"/>
      <c r="DS164" s="268"/>
      <c r="DT164" s="268"/>
      <c r="DU164" s="268"/>
      <c r="DV164" s="268"/>
      <c r="DW164" s="268"/>
      <c r="DX164" s="268"/>
      <c r="DY164" s="268"/>
      <c r="DZ164" s="268"/>
      <c r="EA164" s="268"/>
      <c r="EB164" s="268"/>
      <c r="EC164" s="268"/>
      <c r="ED164" s="268"/>
      <c r="EE164" s="268"/>
      <c r="EF164" s="268"/>
      <c r="EG164" s="268"/>
      <c r="EH164" s="268"/>
    </row>
    <row r="165" spans="1:138" hidden="1">
      <c r="A165" s="268"/>
      <c r="B165" s="342"/>
      <c r="C165" s="340"/>
      <c r="D165" s="522" t="s">
        <v>343</v>
      </c>
      <c r="E165" s="526">
        <f>E164</f>
        <v>0</v>
      </c>
      <c r="F165" s="526">
        <f t="shared" ref="F165:AF165" si="64">E165+F164</f>
        <v>0</v>
      </c>
      <c r="G165" s="526">
        <f t="shared" si="64"/>
        <v>0</v>
      </c>
      <c r="H165" s="526">
        <f t="shared" si="64"/>
        <v>0</v>
      </c>
      <c r="I165" s="526">
        <f t="shared" si="64"/>
        <v>0</v>
      </c>
      <c r="J165" s="526">
        <f t="shared" si="64"/>
        <v>0</v>
      </c>
      <c r="K165" s="526">
        <f t="shared" si="64"/>
        <v>0</v>
      </c>
      <c r="L165" s="526">
        <f t="shared" si="64"/>
        <v>0</v>
      </c>
      <c r="M165" s="526">
        <f t="shared" si="64"/>
        <v>0</v>
      </c>
      <c r="N165" s="526">
        <f t="shared" si="64"/>
        <v>0</v>
      </c>
      <c r="O165" s="526">
        <f t="shared" si="64"/>
        <v>0</v>
      </c>
      <c r="P165" s="526">
        <f t="shared" si="64"/>
        <v>0</v>
      </c>
      <c r="Q165" s="526">
        <f t="shared" si="64"/>
        <v>0</v>
      </c>
      <c r="R165" s="526">
        <f t="shared" si="64"/>
        <v>0</v>
      </c>
      <c r="S165" s="526">
        <f t="shared" si="64"/>
        <v>0</v>
      </c>
      <c r="T165" s="526">
        <f t="shared" si="64"/>
        <v>0</v>
      </c>
      <c r="U165" s="526">
        <f t="shared" si="64"/>
        <v>0</v>
      </c>
      <c r="V165" s="527">
        <f t="shared" si="64"/>
        <v>0</v>
      </c>
      <c r="W165" s="527">
        <f t="shared" si="64"/>
        <v>0</v>
      </c>
      <c r="X165" s="527">
        <f t="shared" si="64"/>
        <v>0</v>
      </c>
      <c r="Y165" s="527">
        <f t="shared" si="64"/>
        <v>0</v>
      </c>
      <c r="Z165" s="527">
        <f t="shared" si="64"/>
        <v>0</v>
      </c>
      <c r="AA165" s="527">
        <f t="shared" si="64"/>
        <v>0</v>
      </c>
      <c r="AB165" s="527">
        <f t="shared" si="64"/>
        <v>0</v>
      </c>
      <c r="AC165" s="527">
        <f t="shared" si="64"/>
        <v>0</v>
      </c>
      <c r="AD165" s="527">
        <f t="shared" si="64"/>
        <v>0</v>
      </c>
      <c r="AE165" s="527">
        <f t="shared" si="64"/>
        <v>0</v>
      </c>
      <c r="AF165" s="527">
        <f t="shared" si="64"/>
        <v>0</v>
      </c>
      <c r="AG165" s="527"/>
      <c r="AH165" s="527"/>
      <c r="AI165" s="527"/>
      <c r="AJ165" s="527"/>
      <c r="AK165" s="527">
        <f t="shared" ref="AK165:BX165" si="65">AJ165+AK164</f>
        <v>0</v>
      </c>
      <c r="AL165" s="527">
        <f t="shared" si="65"/>
        <v>0</v>
      </c>
      <c r="AM165" s="527">
        <f t="shared" si="65"/>
        <v>0</v>
      </c>
      <c r="AN165" s="527">
        <f t="shared" si="65"/>
        <v>0</v>
      </c>
      <c r="AO165" s="527">
        <f t="shared" si="65"/>
        <v>0</v>
      </c>
      <c r="AP165" s="527">
        <f t="shared" si="65"/>
        <v>0</v>
      </c>
      <c r="AQ165" s="527">
        <f t="shared" si="65"/>
        <v>0</v>
      </c>
      <c r="AR165" s="527">
        <f t="shared" si="65"/>
        <v>0</v>
      </c>
      <c r="AS165" s="527">
        <f t="shared" si="65"/>
        <v>0</v>
      </c>
      <c r="AT165" s="527">
        <f t="shared" si="65"/>
        <v>0</v>
      </c>
      <c r="AU165" s="527">
        <f t="shared" si="65"/>
        <v>0</v>
      </c>
      <c r="AV165" s="527">
        <f t="shared" si="65"/>
        <v>0</v>
      </c>
      <c r="AW165" s="527">
        <f t="shared" si="65"/>
        <v>0</v>
      </c>
      <c r="AX165" s="527">
        <f t="shared" si="65"/>
        <v>0</v>
      </c>
      <c r="AY165" s="527">
        <f t="shared" si="65"/>
        <v>0</v>
      </c>
      <c r="AZ165" s="527">
        <f t="shared" si="65"/>
        <v>0</v>
      </c>
      <c r="BA165" s="527">
        <f t="shared" si="65"/>
        <v>0</v>
      </c>
      <c r="BB165" s="527">
        <f t="shared" si="65"/>
        <v>0</v>
      </c>
      <c r="BC165" s="526">
        <f t="shared" si="65"/>
        <v>0</v>
      </c>
      <c r="BD165" s="526">
        <f t="shared" si="65"/>
        <v>0</v>
      </c>
      <c r="BE165" s="526">
        <f t="shared" si="65"/>
        <v>0</v>
      </c>
      <c r="BF165" s="526">
        <f t="shared" si="65"/>
        <v>0</v>
      </c>
      <c r="BG165" s="526">
        <f t="shared" si="65"/>
        <v>0</v>
      </c>
      <c r="BH165" s="526">
        <f t="shared" si="65"/>
        <v>0</v>
      </c>
      <c r="BI165" s="526">
        <f t="shared" si="65"/>
        <v>0</v>
      </c>
      <c r="BJ165" s="526">
        <f t="shared" si="65"/>
        <v>0</v>
      </c>
      <c r="BK165" s="526">
        <f t="shared" si="65"/>
        <v>0</v>
      </c>
      <c r="BL165" s="526">
        <f t="shared" si="65"/>
        <v>0</v>
      </c>
      <c r="BM165" s="526">
        <f t="shared" si="65"/>
        <v>0</v>
      </c>
      <c r="BN165" s="526">
        <f t="shared" si="65"/>
        <v>0</v>
      </c>
      <c r="BO165" s="526">
        <f t="shared" si="65"/>
        <v>0</v>
      </c>
      <c r="BP165" s="526">
        <f t="shared" si="65"/>
        <v>0</v>
      </c>
      <c r="BQ165" s="526">
        <f t="shared" si="65"/>
        <v>0</v>
      </c>
      <c r="BR165" s="526">
        <f t="shared" si="65"/>
        <v>0</v>
      </c>
      <c r="BS165" s="526">
        <f t="shared" si="65"/>
        <v>0</v>
      </c>
      <c r="BT165" s="526">
        <f t="shared" si="65"/>
        <v>0</v>
      </c>
      <c r="BU165" s="526">
        <f t="shared" si="65"/>
        <v>0</v>
      </c>
      <c r="BV165" s="526">
        <f t="shared" si="65"/>
        <v>0</v>
      </c>
      <c r="BW165" s="526">
        <f t="shared" si="65"/>
        <v>0</v>
      </c>
      <c r="BX165" s="526" t="e">
        <f t="shared" si="65"/>
        <v>#NUM!</v>
      </c>
      <c r="BY165" s="268"/>
      <c r="BZ165" s="268"/>
      <c r="CA165" s="268"/>
      <c r="CB165" s="268"/>
      <c r="CC165" s="268"/>
      <c r="CD165" s="268"/>
      <c r="CE165" s="268"/>
      <c r="CF165" s="268"/>
      <c r="CG165" s="268"/>
      <c r="CH165" s="268"/>
      <c r="CI165" s="268"/>
      <c r="CJ165" s="268"/>
      <c r="CK165" s="268"/>
      <c r="CL165" s="268"/>
      <c r="CM165" s="268"/>
      <c r="CN165" s="268"/>
      <c r="CO165" s="268"/>
      <c r="CP165" s="268"/>
      <c r="CQ165" s="268"/>
      <c r="CR165" s="268"/>
      <c r="CS165" s="268"/>
      <c r="CT165" s="268"/>
      <c r="CU165" s="268"/>
      <c r="CV165" s="268"/>
      <c r="CW165" s="268"/>
      <c r="CX165" s="268"/>
      <c r="CY165" s="268"/>
      <c r="CZ165" s="268"/>
      <c r="DA165" s="268"/>
      <c r="DB165" s="268"/>
      <c r="DC165" s="268"/>
      <c r="DD165" s="268"/>
      <c r="DE165" s="268"/>
      <c r="DF165" s="268"/>
      <c r="DG165" s="268"/>
      <c r="DH165" s="268"/>
      <c r="DI165" s="268"/>
      <c r="DJ165" s="268"/>
      <c r="DK165" s="268"/>
      <c r="DL165" s="268"/>
      <c r="DM165" s="268"/>
      <c r="DN165" s="268"/>
      <c r="DO165" s="268"/>
      <c r="DP165" s="268"/>
      <c r="DQ165" s="268"/>
      <c r="DR165" s="268"/>
      <c r="DS165" s="268"/>
      <c r="DT165" s="268"/>
      <c r="DU165" s="268"/>
      <c r="DV165" s="268"/>
      <c r="DW165" s="268"/>
      <c r="DX165" s="268"/>
      <c r="DY165" s="268"/>
      <c r="DZ165" s="268"/>
      <c r="EA165" s="268"/>
      <c r="EB165" s="268"/>
      <c r="EC165" s="268"/>
      <c r="ED165" s="268"/>
      <c r="EE165" s="268"/>
      <c r="EF165" s="268"/>
      <c r="EG165" s="268"/>
      <c r="EH165" s="268"/>
    </row>
    <row r="166" spans="1:138" hidden="1">
      <c r="A166" s="268"/>
      <c r="B166" s="342"/>
      <c r="C166" s="517" t="s">
        <v>329</v>
      </c>
      <c r="D166" s="522" t="e">
        <f>IRR(E164:BX164)*12</f>
        <v>#VALUE!</v>
      </c>
      <c r="E166" s="268"/>
      <c r="F166" s="268"/>
      <c r="G166" s="268"/>
      <c r="H166" s="268"/>
      <c r="I166" s="268"/>
      <c r="J166" s="268"/>
      <c r="K166" s="268"/>
      <c r="L166" s="268"/>
      <c r="M166" s="268"/>
      <c r="N166" s="268"/>
      <c r="O166" s="268"/>
      <c r="P166" s="268"/>
      <c r="Q166" s="268"/>
      <c r="R166" s="268"/>
      <c r="S166" s="268"/>
      <c r="T166" s="268"/>
      <c r="U166" s="268"/>
      <c r="V166" s="268"/>
      <c r="W166" s="268"/>
      <c r="X166" s="268"/>
      <c r="Y166" s="268"/>
      <c r="Z166" s="268"/>
      <c r="AA166" s="268"/>
      <c r="AB166" s="268"/>
      <c r="AC166" s="268"/>
      <c r="AD166" s="268"/>
      <c r="AE166" s="268"/>
      <c r="AF166" s="268"/>
      <c r="AG166" s="268"/>
      <c r="AH166" s="268"/>
      <c r="AI166" s="268"/>
      <c r="AJ166" s="268"/>
      <c r="AK166" s="268"/>
      <c r="AL166" s="268"/>
      <c r="AM166" s="268"/>
      <c r="AN166" s="268"/>
      <c r="AO166" s="268"/>
      <c r="AP166" s="268"/>
      <c r="AQ166" s="268"/>
      <c r="AR166" s="268"/>
      <c r="AS166" s="268"/>
      <c r="AT166" s="268"/>
      <c r="AU166" s="268"/>
      <c r="AV166" s="268"/>
      <c r="AW166" s="268"/>
      <c r="AX166" s="268"/>
      <c r="AY166" s="268"/>
      <c r="AZ166" s="268"/>
      <c r="BA166" s="268"/>
      <c r="BB166" s="268"/>
      <c r="BC166" s="268"/>
      <c r="BD166" s="268"/>
      <c r="BE166" s="268"/>
      <c r="BF166" s="268"/>
      <c r="BG166" s="268"/>
      <c r="BH166" s="268"/>
      <c r="BI166" s="268"/>
      <c r="BJ166" s="268"/>
      <c r="BK166" s="268"/>
      <c r="BL166" s="268"/>
      <c r="BM166" s="268"/>
      <c r="BN166" s="268"/>
      <c r="BO166" s="268"/>
      <c r="BP166" s="268"/>
      <c r="BQ166" s="268"/>
      <c r="BR166" s="268"/>
      <c r="BS166" s="268"/>
      <c r="BT166" s="268"/>
      <c r="BU166" s="268"/>
      <c r="BV166" s="268"/>
      <c r="BW166" s="268"/>
      <c r="BX166" s="268"/>
      <c r="BY166" s="268"/>
      <c r="BZ166" s="268"/>
      <c r="CA166" s="268"/>
      <c r="CB166" s="268"/>
      <c r="CC166" s="268"/>
      <c r="CD166" s="268"/>
      <c r="CE166" s="268"/>
      <c r="CF166" s="268"/>
      <c r="CG166" s="268"/>
      <c r="CH166" s="268"/>
      <c r="CI166" s="268"/>
      <c r="CJ166" s="268"/>
      <c r="CK166" s="268"/>
      <c r="CL166" s="268"/>
      <c r="CM166" s="268"/>
      <c r="CN166" s="268"/>
      <c r="CO166" s="268"/>
      <c r="CP166" s="268"/>
      <c r="CQ166" s="268"/>
      <c r="CR166" s="268"/>
      <c r="CS166" s="268"/>
      <c r="CT166" s="268"/>
      <c r="CU166" s="268"/>
      <c r="CV166" s="268"/>
      <c r="CW166" s="268"/>
      <c r="CX166" s="268"/>
      <c r="CY166" s="268"/>
      <c r="CZ166" s="268"/>
      <c r="DA166" s="268"/>
      <c r="DB166" s="268"/>
      <c r="DC166" s="268"/>
      <c r="DD166" s="268"/>
      <c r="DE166" s="268"/>
      <c r="DF166" s="268"/>
      <c r="DG166" s="268"/>
      <c r="DH166" s="268"/>
      <c r="DI166" s="268"/>
      <c r="DJ166" s="268"/>
      <c r="DK166" s="268"/>
      <c r="DL166" s="268"/>
      <c r="DM166" s="268"/>
      <c r="DN166" s="268"/>
      <c r="DO166" s="268"/>
      <c r="DP166" s="268"/>
      <c r="DQ166" s="268"/>
      <c r="DR166" s="268"/>
      <c r="DS166" s="268"/>
      <c r="DT166" s="268"/>
      <c r="DU166" s="268"/>
      <c r="DV166" s="268"/>
      <c r="DW166" s="268"/>
      <c r="DX166" s="268"/>
      <c r="DY166" s="268"/>
      <c r="DZ166" s="268"/>
      <c r="EA166" s="268"/>
      <c r="EB166" s="268"/>
      <c r="EC166" s="268"/>
      <c r="ED166" s="268"/>
      <c r="EE166" s="268"/>
      <c r="EF166" s="268"/>
      <c r="EG166" s="268"/>
      <c r="EH166" s="268"/>
    </row>
    <row r="167" spans="1:138" hidden="1">
      <c r="A167" s="268"/>
      <c r="B167" s="342"/>
      <c r="C167" s="523" t="s">
        <v>337</v>
      </c>
      <c r="D167" s="524">
        <f>-MIN(M165:BL165)-D168</f>
        <v>0</v>
      </c>
      <c r="E167" s="268"/>
      <c r="F167" s="268"/>
      <c r="G167" s="268"/>
      <c r="H167" s="268"/>
      <c r="I167" s="268"/>
      <c r="J167" s="268"/>
      <c r="K167" s="268"/>
      <c r="L167" s="268"/>
      <c r="M167" s="268"/>
      <c r="N167" s="268"/>
      <c r="O167" s="268"/>
      <c r="P167" s="268"/>
      <c r="Q167" s="268"/>
      <c r="R167" s="268"/>
      <c r="S167" s="268"/>
      <c r="T167" s="268"/>
      <c r="U167" s="268"/>
      <c r="V167" s="268"/>
      <c r="W167" s="268"/>
      <c r="X167" s="268"/>
      <c r="Y167" s="268"/>
      <c r="Z167" s="268"/>
      <c r="AA167" s="268"/>
      <c r="AB167" s="268"/>
      <c r="AC167" s="268"/>
      <c r="AD167" s="268"/>
      <c r="AE167" s="268"/>
      <c r="AF167" s="268"/>
      <c r="AG167" s="268"/>
      <c r="AH167" s="268"/>
      <c r="AI167" s="268"/>
      <c r="AJ167" s="268"/>
      <c r="AK167" s="268"/>
      <c r="AL167" s="268"/>
      <c r="AM167" s="268"/>
      <c r="AN167" s="268"/>
      <c r="AO167" s="268"/>
      <c r="AP167" s="268"/>
      <c r="AQ167" s="268"/>
      <c r="AR167" s="268"/>
      <c r="AS167" s="268"/>
      <c r="AT167" s="268"/>
      <c r="AU167" s="268"/>
      <c r="AV167" s="268"/>
      <c r="AW167" s="268"/>
      <c r="AX167" s="268"/>
      <c r="AY167" s="268"/>
      <c r="AZ167" s="268"/>
      <c r="BA167" s="268"/>
      <c r="BB167" s="268"/>
      <c r="BC167" s="268"/>
      <c r="BD167" s="268"/>
      <c r="BE167" s="268"/>
      <c r="BF167" s="268"/>
      <c r="BG167" s="268"/>
      <c r="BH167" s="268"/>
      <c r="BI167" s="268"/>
      <c r="BJ167" s="268"/>
      <c r="BK167" s="268"/>
      <c r="BL167" s="268"/>
      <c r="BM167" s="268"/>
      <c r="BN167" s="268"/>
      <c r="BO167" s="268"/>
      <c r="BP167" s="268"/>
      <c r="BQ167" s="268"/>
      <c r="BR167" s="268"/>
      <c r="BS167" s="268"/>
      <c r="BT167" s="268"/>
      <c r="BU167" s="268"/>
      <c r="BV167" s="268"/>
      <c r="BW167" s="268"/>
      <c r="BX167" s="268"/>
      <c r="BY167" s="268"/>
      <c r="BZ167" s="268"/>
      <c r="CA167" s="268"/>
      <c r="CB167" s="268"/>
      <c r="CC167" s="268"/>
      <c r="CD167" s="268"/>
      <c r="CE167" s="268"/>
      <c r="CF167" s="268"/>
      <c r="CG167" s="268"/>
      <c r="CH167" s="268"/>
      <c r="CI167" s="268"/>
      <c r="CJ167" s="268"/>
      <c r="CK167" s="268"/>
      <c r="CL167" s="268"/>
      <c r="CM167" s="268"/>
      <c r="CN167" s="268"/>
      <c r="CO167" s="268"/>
      <c r="CP167" s="268"/>
      <c r="CQ167" s="268"/>
      <c r="CR167" s="268"/>
      <c r="CS167" s="268"/>
      <c r="CT167" s="268"/>
      <c r="CU167" s="268"/>
      <c r="CV167" s="268"/>
      <c r="CW167" s="268"/>
      <c r="CX167" s="268"/>
      <c r="CY167" s="268"/>
      <c r="CZ167" s="268"/>
      <c r="DA167" s="268"/>
      <c r="DB167" s="268"/>
      <c r="DC167" s="268"/>
      <c r="DD167" s="268"/>
      <c r="DE167" s="268"/>
      <c r="DF167" s="268"/>
      <c r="DG167" s="268"/>
      <c r="DH167" s="268"/>
      <c r="DI167" s="268"/>
      <c r="DJ167" s="268"/>
      <c r="DK167" s="268"/>
      <c r="DL167" s="268"/>
      <c r="DM167" s="268"/>
      <c r="DN167" s="268"/>
      <c r="DO167" s="268"/>
      <c r="DP167" s="268"/>
      <c r="DQ167" s="268"/>
      <c r="DR167" s="268"/>
      <c r="DS167" s="268"/>
      <c r="DT167" s="268"/>
      <c r="DU167" s="268"/>
      <c r="DV167" s="268"/>
      <c r="DW167" s="268"/>
      <c r="DX167" s="268"/>
      <c r="DY167" s="268"/>
      <c r="DZ167" s="268"/>
      <c r="EA167" s="268"/>
      <c r="EB167" s="268"/>
      <c r="EC167" s="268"/>
      <c r="ED167" s="268"/>
      <c r="EE167" s="268"/>
      <c r="EF167" s="268"/>
      <c r="EG167" s="268"/>
      <c r="EH167" s="268"/>
    </row>
    <row r="168" spans="1:138" hidden="1">
      <c r="A168" s="268"/>
      <c r="B168" s="342"/>
      <c r="C168" s="523" t="s">
        <v>344</v>
      </c>
      <c r="D168" s="524">
        <f>-SUM(M163:BB163)</f>
        <v>0</v>
      </c>
      <c r="E168" s="268"/>
      <c r="F168" s="268"/>
      <c r="G168" s="268"/>
      <c r="H168" s="268"/>
      <c r="I168" s="268"/>
      <c r="J168" s="268"/>
      <c r="K168" s="268"/>
      <c r="L168" s="268"/>
      <c r="M168" s="268"/>
      <c r="N168" s="268"/>
      <c r="O168" s="268"/>
      <c r="P168" s="268"/>
      <c r="Q168" s="268"/>
      <c r="R168" s="268"/>
      <c r="S168" s="268"/>
      <c r="T168" s="268"/>
      <c r="U168" s="268"/>
      <c r="V168" s="268"/>
      <c r="W168" s="268"/>
      <c r="X168" s="268"/>
      <c r="Y168" s="268"/>
      <c r="Z168" s="268"/>
      <c r="AA168" s="268"/>
      <c r="AB168" s="268"/>
      <c r="AC168" s="268"/>
      <c r="AD168" s="268"/>
      <c r="AE168" s="268"/>
      <c r="AF168" s="268"/>
      <c r="AG168" s="268"/>
      <c r="AH168" s="268"/>
      <c r="AI168" s="268"/>
      <c r="AJ168" s="268"/>
      <c r="AK168" s="268"/>
      <c r="AL168" s="268"/>
      <c r="AM168" s="268"/>
      <c r="AN168" s="268"/>
      <c r="AO168" s="268"/>
      <c r="AP168" s="268"/>
      <c r="AQ168" s="268"/>
      <c r="AR168" s="268"/>
      <c r="AS168" s="268"/>
      <c r="AT168" s="268"/>
      <c r="AU168" s="268"/>
      <c r="AV168" s="268"/>
      <c r="AW168" s="268"/>
      <c r="AX168" s="268"/>
      <c r="AY168" s="268"/>
      <c r="AZ168" s="268"/>
      <c r="BA168" s="268"/>
      <c r="BB168" s="268"/>
      <c r="BC168" s="268"/>
      <c r="BD168" s="268"/>
      <c r="BE168" s="268"/>
      <c r="BF168" s="268"/>
      <c r="BG168" s="268"/>
      <c r="BH168" s="268"/>
      <c r="BI168" s="268"/>
      <c r="BJ168" s="268"/>
      <c r="BK168" s="268"/>
      <c r="BL168" s="268"/>
      <c r="BM168" s="268"/>
      <c r="BN168" s="268"/>
      <c r="BO168" s="268"/>
      <c r="BP168" s="268"/>
      <c r="BQ168" s="268"/>
      <c r="BR168" s="268"/>
      <c r="BS168" s="268"/>
      <c r="BT168" s="268"/>
      <c r="BU168" s="268"/>
      <c r="BV168" s="268"/>
      <c r="BW168" s="268"/>
      <c r="BX168" s="268"/>
      <c r="BY168" s="268"/>
      <c r="BZ168" s="268"/>
      <c r="CA168" s="268"/>
      <c r="CB168" s="268"/>
      <c r="CC168" s="268"/>
      <c r="CD168" s="268"/>
      <c r="CE168" s="268"/>
      <c r="CF168" s="268"/>
      <c r="CG168" s="268"/>
      <c r="CH168" s="268"/>
      <c r="CI168" s="268"/>
      <c r="CJ168" s="268"/>
      <c r="CK168" s="268"/>
      <c r="CL168" s="268"/>
      <c r="CM168" s="268"/>
      <c r="CN168" s="268"/>
      <c r="CO168" s="268"/>
      <c r="CP168" s="268"/>
      <c r="CQ168" s="268"/>
      <c r="CR168" s="268"/>
      <c r="CS168" s="268"/>
      <c r="CT168" s="268"/>
      <c r="CU168" s="268"/>
      <c r="CV168" s="268"/>
      <c r="CW168" s="268"/>
      <c r="CX168" s="268"/>
      <c r="CY168" s="268"/>
      <c r="CZ168" s="268"/>
      <c r="DA168" s="268"/>
      <c r="DB168" s="268"/>
      <c r="DC168" s="268"/>
      <c r="DD168" s="268"/>
      <c r="DE168" s="268"/>
      <c r="DF168" s="268"/>
      <c r="DG168" s="268"/>
      <c r="DH168" s="268"/>
      <c r="DI168" s="268"/>
      <c r="DJ168" s="268"/>
      <c r="DK168" s="268"/>
      <c r="DL168" s="268"/>
      <c r="DM168" s="268"/>
      <c r="DN168" s="268"/>
      <c r="DO168" s="268"/>
      <c r="DP168" s="268"/>
      <c r="DQ168" s="268"/>
      <c r="DR168" s="268"/>
      <c r="DS168" s="268"/>
      <c r="DT168" s="268"/>
      <c r="DU168" s="268"/>
      <c r="DV168" s="268"/>
      <c r="DW168" s="268"/>
      <c r="DX168" s="268"/>
      <c r="DY168" s="268"/>
      <c r="DZ168" s="268"/>
      <c r="EA168" s="268"/>
      <c r="EB168" s="268"/>
      <c r="EC168" s="268"/>
      <c r="ED168" s="268"/>
      <c r="EE168" s="268"/>
      <c r="EF168" s="268"/>
      <c r="EG168" s="268"/>
      <c r="EH168" s="268"/>
    </row>
    <row r="169" spans="1:138" hidden="1">
      <c r="A169" s="268"/>
      <c r="B169" s="342"/>
      <c r="C169" s="517" t="s">
        <v>338</v>
      </c>
      <c r="D169" s="525">
        <f>D168+D167</f>
        <v>0</v>
      </c>
      <c r="E169" s="268"/>
      <c r="F169" s="268"/>
      <c r="G169" s="268"/>
      <c r="H169" s="268"/>
      <c r="I169" s="268"/>
      <c r="J169" s="268"/>
      <c r="K169" s="268"/>
      <c r="L169" s="268"/>
      <c r="M169" s="268"/>
      <c r="N169" s="268"/>
      <c r="O169" s="268"/>
      <c r="P169" s="268"/>
      <c r="Q169" s="268"/>
      <c r="R169" s="268"/>
      <c r="S169" s="268"/>
      <c r="T169" s="268"/>
      <c r="U169" s="268"/>
      <c r="V169" s="268"/>
      <c r="W169" s="268"/>
      <c r="X169" s="268"/>
      <c r="Y169" s="268"/>
      <c r="Z169" s="268"/>
      <c r="AA169" s="268"/>
      <c r="AB169" s="268"/>
      <c r="AC169" s="268"/>
      <c r="AD169" s="268"/>
      <c r="AE169" s="268"/>
      <c r="AF169" s="268"/>
      <c r="AG169" s="268"/>
      <c r="AH169" s="268"/>
      <c r="AI169" s="268"/>
      <c r="AJ169" s="268"/>
      <c r="AK169" s="268"/>
      <c r="AL169" s="268"/>
      <c r="AM169" s="268"/>
      <c r="AN169" s="268"/>
      <c r="AO169" s="268"/>
      <c r="AP169" s="268"/>
      <c r="AQ169" s="268"/>
      <c r="AR169" s="268"/>
      <c r="AS169" s="268"/>
      <c r="AT169" s="268"/>
      <c r="AU169" s="268"/>
      <c r="AV169" s="268"/>
      <c r="AW169" s="268"/>
      <c r="AX169" s="268"/>
      <c r="AY169" s="268"/>
      <c r="AZ169" s="268"/>
      <c r="BA169" s="268"/>
      <c r="BB169" s="268"/>
      <c r="BC169" s="268"/>
      <c r="BD169" s="268"/>
      <c r="BE169" s="268"/>
      <c r="BF169" s="268"/>
      <c r="BG169" s="268"/>
      <c r="BH169" s="268"/>
      <c r="BI169" s="268"/>
      <c r="BJ169" s="268"/>
      <c r="BK169" s="268"/>
      <c r="BL169" s="268"/>
      <c r="BM169" s="268"/>
      <c r="BN169" s="268"/>
      <c r="BO169" s="268"/>
      <c r="BP169" s="268"/>
      <c r="BQ169" s="268"/>
      <c r="BR169" s="268"/>
      <c r="BS169" s="268"/>
      <c r="BT169" s="268"/>
      <c r="BU169" s="268"/>
      <c r="BV169" s="268"/>
      <c r="BW169" s="268"/>
      <c r="BX169" s="268"/>
      <c r="BY169" s="268"/>
      <c r="BZ169" s="268"/>
      <c r="CA169" s="268"/>
      <c r="CB169" s="268"/>
      <c r="CC169" s="268"/>
      <c r="CD169" s="268"/>
      <c r="CE169" s="268"/>
      <c r="CF169" s="268"/>
      <c r="CG169" s="268"/>
      <c r="CH169" s="268"/>
      <c r="CI169" s="268"/>
      <c r="CJ169" s="268"/>
      <c r="CK169" s="268"/>
      <c r="CL169" s="268"/>
      <c r="CM169" s="268"/>
      <c r="CN169" s="268"/>
      <c r="CO169" s="268"/>
      <c r="CP169" s="268"/>
      <c r="CQ169" s="268"/>
      <c r="CR169" s="268"/>
      <c r="CS169" s="268"/>
      <c r="CT169" s="268"/>
      <c r="CU169" s="268"/>
      <c r="CV169" s="268"/>
      <c r="CW169" s="268"/>
      <c r="CX169" s="268"/>
      <c r="CY169" s="268"/>
      <c r="CZ169" s="268"/>
      <c r="DA169" s="268"/>
      <c r="DB169" s="268"/>
      <c r="DC169" s="268"/>
      <c r="DD169" s="268"/>
      <c r="DE169" s="268"/>
      <c r="DF169" s="268"/>
      <c r="DG169" s="268"/>
      <c r="DH169" s="268"/>
      <c r="DI169" s="268"/>
      <c r="DJ169" s="268"/>
      <c r="DK169" s="268"/>
      <c r="DL169" s="268"/>
      <c r="DM169" s="268"/>
      <c r="DN169" s="268"/>
      <c r="DO169" s="268"/>
      <c r="DP169" s="268"/>
      <c r="DQ169" s="268"/>
      <c r="DR169" s="268"/>
      <c r="DS169" s="268"/>
      <c r="DT169" s="268"/>
      <c r="DU169" s="268"/>
      <c r="DV169" s="268"/>
      <c r="DW169" s="344"/>
      <c r="DX169" s="344"/>
      <c r="DY169" s="344"/>
      <c r="DZ169" s="344"/>
      <c r="EA169" s="344"/>
      <c r="EB169" s="344"/>
      <c r="EC169" s="344"/>
      <c r="ED169" s="344"/>
      <c r="EE169" s="344"/>
      <c r="EF169" s="344"/>
      <c r="EG169" s="344"/>
      <c r="EH169" s="344"/>
    </row>
    <row r="170" spans="1:138" hidden="1">
      <c r="A170" s="268"/>
      <c r="B170" s="342"/>
      <c r="C170" s="517" t="s">
        <v>339</v>
      </c>
      <c r="D170" s="525" t="e">
        <f>BX161+BX162</f>
        <v>#NUM!</v>
      </c>
      <c r="E170" s="268"/>
      <c r="F170" s="268"/>
      <c r="G170" s="268"/>
      <c r="H170" s="268"/>
      <c r="I170" s="268"/>
      <c r="J170" s="268"/>
      <c r="K170" s="268"/>
      <c r="L170" s="268"/>
      <c r="M170" s="268"/>
      <c r="N170" s="268"/>
      <c r="O170" s="268"/>
      <c r="P170" s="268"/>
      <c r="Q170" s="268"/>
      <c r="R170" s="268"/>
      <c r="S170" s="268"/>
      <c r="T170" s="268"/>
      <c r="U170" s="268"/>
      <c r="V170" s="268"/>
      <c r="W170" s="268"/>
      <c r="X170" s="268"/>
      <c r="Y170" s="268"/>
      <c r="Z170" s="268"/>
      <c r="AA170" s="268"/>
      <c r="AB170" s="268"/>
      <c r="AC170" s="268"/>
      <c r="AD170" s="268"/>
      <c r="AE170" s="268"/>
      <c r="AF170" s="268"/>
      <c r="AG170" s="268"/>
      <c r="AH170" s="268"/>
      <c r="AI170" s="268"/>
      <c r="AJ170" s="268"/>
      <c r="AK170" s="268"/>
      <c r="AL170" s="268"/>
      <c r="AM170" s="268"/>
      <c r="AN170" s="268"/>
      <c r="AO170" s="268"/>
      <c r="AP170" s="268"/>
      <c r="AQ170" s="268"/>
      <c r="AR170" s="268"/>
      <c r="AS170" s="268"/>
      <c r="AT170" s="268"/>
      <c r="AU170" s="268"/>
      <c r="AV170" s="268"/>
      <c r="AW170" s="268"/>
      <c r="AX170" s="268"/>
      <c r="AY170" s="268"/>
      <c r="AZ170" s="268"/>
      <c r="BA170" s="268"/>
      <c r="BB170" s="268"/>
      <c r="BC170" s="268"/>
      <c r="BD170" s="268"/>
      <c r="BE170" s="268"/>
      <c r="BF170" s="268"/>
      <c r="BG170" s="268"/>
      <c r="BH170" s="268"/>
      <c r="BI170" s="268"/>
      <c r="BJ170" s="268"/>
      <c r="BK170" s="268"/>
      <c r="BL170" s="268"/>
      <c r="BM170" s="268"/>
      <c r="BN170" s="268"/>
      <c r="BO170" s="268"/>
      <c r="BP170" s="268"/>
      <c r="BQ170" s="268"/>
      <c r="BR170" s="268"/>
      <c r="BS170" s="268"/>
      <c r="BT170" s="268"/>
      <c r="BU170" s="268"/>
      <c r="BV170" s="268"/>
      <c r="BW170" s="268"/>
      <c r="BX170" s="268"/>
      <c r="BY170" s="268"/>
      <c r="BZ170" s="268"/>
      <c r="CA170" s="268"/>
      <c r="CB170" s="268"/>
      <c r="CC170" s="268"/>
      <c r="CD170" s="268"/>
      <c r="CE170" s="268"/>
      <c r="CF170" s="268"/>
      <c r="CG170" s="268"/>
      <c r="CH170" s="268"/>
      <c r="CI170" s="268"/>
      <c r="CJ170" s="268"/>
      <c r="CK170" s="268"/>
      <c r="CL170" s="268"/>
      <c r="CM170" s="268"/>
      <c r="CN170" s="268"/>
      <c r="CO170" s="268"/>
      <c r="CP170" s="268"/>
      <c r="CQ170" s="268"/>
      <c r="CR170" s="268"/>
      <c r="CS170" s="268"/>
      <c r="CT170" s="268"/>
      <c r="CU170" s="268"/>
      <c r="CV170" s="268"/>
      <c r="CW170" s="268"/>
      <c r="CX170" s="268"/>
      <c r="CY170" s="268"/>
      <c r="CZ170" s="268"/>
      <c r="DA170" s="268"/>
      <c r="DB170" s="268"/>
      <c r="DC170" s="268"/>
      <c r="DD170" s="268"/>
      <c r="DE170" s="268"/>
      <c r="DF170" s="268"/>
      <c r="DG170" s="268"/>
      <c r="DH170" s="268"/>
      <c r="DI170" s="268"/>
      <c r="DJ170" s="268"/>
      <c r="DK170" s="268"/>
      <c r="DL170" s="268"/>
      <c r="DM170" s="268"/>
      <c r="DN170" s="268"/>
      <c r="DO170" s="268"/>
      <c r="DP170" s="268"/>
      <c r="DQ170" s="268"/>
      <c r="DR170" s="268"/>
      <c r="DS170" s="268"/>
      <c r="DT170" s="268"/>
      <c r="DU170" s="268"/>
      <c r="DV170" s="268"/>
      <c r="DW170" s="344"/>
      <c r="DX170" s="344"/>
      <c r="DY170" s="344"/>
      <c r="DZ170" s="344"/>
      <c r="EA170" s="344"/>
      <c r="EB170" s="344"/>
      <c r="EC170" s="344"/>
      <c r="ED170" s="344"/>
      <c r="EE170" s="344"/>
      <c r="EF170" s="344"/>
      <c r="EG170" s="344"/>
      <c r="EH170" s="344"/>
    </row>
    <row r="171" spans="1:138" hidden="1">
      <c r="A171" s="268"/>
      <c r="B171" s="342"/>
      <c r="C171" s="517" t="s">
        <v>340</v>
      </c>
      <c r="D171" s="522" t="e">
        <f>(D170-D168)/D169</f>
        <v>#NUM!</v>
      </c>
      <c r="E171" s="268"/>
      <c r="F171" s="268"/>
      <c r="G171" s="268"/>
      <c r="H171" s="268"/>
      <c r="I171" s="268"/>
      <c r="J171" s="268"/>
      <c r="K171" s="268"/>
      <c r="L171" s="268"/>
      <c r="M171" s="268"/>
      <c r="N171" s="268"/>
      <c r="O171" s="268"/>
      <c r="P171" s="268"/>
      <c r="Q171" s="268"/>
      <c r="R171" s="268"/>
      <c r="S171" s="268"/>
      <c r="T171" s="268"/>
      <c r="U171" s="268"/>
      <c r="V171" s="268"/>
      <c r="W171" s="268"/>
      <c r="X171" s="268"/>
      <c r="Y171" s="268"/>
      <c r="Z171" s="268"/>
      <c r="AA171" s="268"/>
      <c r="AB171" s="268"/>
      <c r="AC171" s="268"/>
      <c r="AD171" s="268"/>
      <c r="AE171" s="268"/>
      <c r="AF171" s="268"/>
      <c r="AG171" s="268"/>
      <c r="AH171" s="268"/>
      <c r="AI171" s="268"/>
      <c r="AJ171" s="268"/>
      <c r="AK171" s="268"/>
      <c r="AL171" s="268"/>
      <c r="AM171" s="268"/>
      <c r="AN171" s="268"/>
      <c r="AO171" s="268"/>
      <c r="AP171" s="268"/>
      <c r="AQ171" s="268"/>
      <c r="AR171" s="268"/>
      <c r="AS171" s="268"/>
      <c r="AT171" s="268"/>
      <c r="AU171" s="268"/>
      <c r="AV171" s="268"/>
      <c r="AW171" s="268"/>
      <c r="AX171" s="268"/>
      <c r="AY171" s="268"/>
      <c r="AZ171" s="268"/>
      <c r="BA171" s="268"/>
      <c r="BB171" s="268"/>
      <c r="BC171" s="268"/>
      <c r="BD171" s="268"/>
      <c r="BE171" s="268"/>
      <c r="BF171" s="268"/>
      <c r="BG171" s="268"/>
      <c r="BH171" s="268"/>
      <c r="BI171" s="268"/>
      <c r="BJ171" s="268"/>
      <c r="BK171" s="268"/>
      <c r="BL171" s="268"/>
      <c r="BM171" s="268"/>
      <c r="BN171" s="268"/>
      <c r="BO171" s="268"/>
      <c r="BP171" s="268"/>
      <c r="BQ171" s="268"/>
      <c r="BR171" s="268"/>
      <c r="BS171" s="268"/>
      <c r="BT171" s="268"/>
      <c r="BU171" s="268"/>
      <c r="BV171" s="268"/>
      <c r="BW171" s="268"/>
      <c r="BX171" s="268"/>
      <c r="BY171" s="268"/>
      <c r="BZ171" s="268"/>
      <c r="CA171" s="268"/>
      <c r="CB171" s="268"/>
      <c r="CC171" s="268"/>
      <c r="CD171" s="268"/>
      <c r="CE171" s="268"/>
      <c r="CF171" s="268"/>
      <c r="CG171" s="268"/>
      <c r="CH171" s="268"/>
      <c r="CI171" s="268"/>
      <c r="CJ171" s="268"/>
      <c r="CK171" s="268"/>
      <c r="CL171" s="268"/>
      <c r="CM171" s="268"/>
      <c r="CN171" s="268"/>
      <c r="CO171" s="268"/>
      <c r="CP171" s="268"/>
      <c r="CQ171" s="268"/>
      <c r="CR171" s="268"/>
      <c r="CS171" s="268"/>
      <c r="CT171" s="268"/>
      <c r="CU171" s="268"/>
      <c r="CV171" s="268"/>
      <c r="CW171" s="268"/>
      <c r="CX171" s="268"/>
      <c r="CY171" s="268"/>
      <c r="CZ171" s="268"/>
      <c r="DA171" s="268"/>
      <c r="DB171" s="268"/>
      <c r="DC171" s="268"/>
      <c r="DD171" s="268"/>
      <c r="DE171" s="268"/>
      <c r="DF171" s="268"/>
      <c r="DG171" s="268"/>
      <c r="DH171" s="268"/>
      <c r="DI171" s="268"/>
      <c r="DJ171" s="268"/>
      <c r="DK171" s="268"/>
      <c r="DL171" s="268"/>
      <c r="DM171" s="268"/>
      <c r="DN171" s="268"/>
      <c r="DO171" s="268"/>
      <c r="DP171" s="268"/>
      <c r="DQ171" s="268"/>
      <c r="DR171" s="268"/>
      <c r="DS171" s="268"/>
      <c r="DT171" s="268"/>
      <c r="DU171" s="268"/>
      <c r="DV171" s="268"/>
      <c r="DW171" s="344"/>
      <c r="DX171" s="344"/>
      <c r="DY171" s="344"/>
      <c r="DZ171" s="344"/>
      <c r="EA171" s="344"/>
      <c r="EB171" s="344"/>
      <c r="EC171" s="344"/>
      <c r="ED171" s="344"/>
      <c r="EE171" s="344"/>
      <c r="EF171" s="344"/>
      <c r="EG171" s="344"/>
      <c r="EH171" s="344"/>
    </row>
    <row r="172" spans="1:138" hidden="1">
      <c r="A172" s="268"/>
      <c r="B172" s="268"/>
      <c r="C172" s="268"/>
      <c r="D172" s="268"/>
      <c r="E172" s="268"/>
      <c r="F172" s="268"/>
      <c r="G172" s="268"/>
      <c r="H172" s="268"/>
      <c r="I172" s="268"/>
      <c r="J172" s="268"/>
      <c r="K172" s="268"/>
      <c r="L172" s="268"/>
      <c r="M172" s="268"/>
      <c r="N172" s="268"/>
      <c r="O172" s="268"/>
      <c r="P172" s="268"/>
      <c r="Q172" s="268"/>
      <c r="R172" s="268"/>
      <c r="S172" s="268"/>
      <c r="T172" s="268"/>
      <c r="U172" s="268"/>
      <c r="V172" s="268"/>
      <c r="W172" s="268"/>
      <c r="X172" s="268"/>
      <c r="Y172" s="268"/>
      <c r="Z172" s="268"/>
      <c r="AA172" s="268"/>
      <c r="AB172" s="268"/>
      <c r="AC172" s="268"/>
      <c r="AD172" s="268"/>
      <c r="AE172" s="268"/>
      <c r="AF172" s="268"/>
      <c r="AG172" s="268"/>
      <c r="AH172" s="268"/>
      <c r="AI172" s="268"/>
      <c r="AJ172" s="268"/>
      <c r="AK172" s="268"/>
      <c r="AL172" s="268"/>
      <c r="AM172" s="268"/>
      <c r="AN172" s="268"/>
      <c r="AO172" s="268"/>
      <c r="AP172" s="268"/>
      <c r="AQ172" s="268"/>
      <c r="AR172" s="268"/>
      <c r="AS172" s="268"/>
      <c r="AT172" s="268"/>
      <c r="AU172" s="268"/>
      <c r="AV172" s="268"/>
      <c r="AW172" s="268"/>
      <c r="AX172" s="268"/>
      <c r="AY172" s="268"/>
      <c r="AZ172" s="268"/>
      <c r="BA172" s="268"/>
      <c r="BB172" s="268"/>
      <c r="BC172" s="268"/>
      <c r="BD172" s="268"/>
      <c r="BE172" s="268"/>
      <c r="BF172" s="268"/>
      <c r="BG172" s="268"/>
      <c r="BH172" s="268"/>
      <c r="BI172" s="268"/>
      <c r="BJ172" s="268"/>
      <c r="BK172" s="268"/>
      <c r="BL172" s="268"/>
      <c r="BM172" s="268"/>
      <c r="BN172" s="268"/>
      <c r="BO172" s="268"/>
      <c r="BP172" s="268"/>
      <c r="BQ172" s="268"/>
      <c r="BR172" s="268"/>
      <c r="BS172" s="268"/>
      <c r="BT172" s="268"/>
      <c r="BU172" s="268"/>
      <c r="BV172" s="268"/>
      <c r="BW172" s="268"/>
      <c r="BX172" s="268"/>
      <c r="BY172" s="268"/>
      <c r="BZ172" s="268"/>
      <c r="CA172" s="268"/>
      <c r="CB172" s="268"/>
      <c r="CC172" s="268"/>
      <c r="CD172" s="268"/>
      <c r="CE172" s="268"/>
      <c r="CF172" s="268"/>
      <c r="CG172" s="268"/>
      <c r="CH172" s="268"/>
      <c r="CI172" s="268"/>
      <c r="CJ172" s="268"/>
      <c r="CK172" s="268"/>
      <c r="CL172" s="268"/>
      <c r="CM172" s="268"/>
      <c r="CN172" s="268"/>
      <c r="CO172" s="268"/>
      <c r="CP172" s="268"/>
      <c r="CQ172" s="268"/>
      <c r="CR172" s="268"/>
      <c r="CS172" s="268"/>
      <c r="CT172" s="268"/>
      <c r="CU172" s="268"/>
      <c r="CV172" s="268"/>
      <c r="CW172" s="268"/>
      <c r="CX172" s="268"/>
      <c r="CY172" s="268"/>
      <c r="CZ172" s="268"/>
      <c r="DA172" s="268"/>
      <c r="DB172" s="268"/>
      <c r="DC172" s="268"/>
      <c r="DD172" s="268"/>
      <c r="DE172" s="268"/>
      <c r="DF172" s="268"/>
      <c r="DG172" s="268"/>
      <c r="DH172" s="268"/>
      <c r="DI172" s="268"/>
      <c r="DJ172" s="268"/>
      <c r="DK172" s="268"/>
      <c r="DL172" s="268"/>
      <c r="DM172" s="268"/>
      <c r="DN172" s="268"/>
      <c r="DO172" s="268"/>
      <c r="DP172" s="268"/>
      <c r="DQ172" s="268"/>
      <c r="DR172" s="268"/>
      <c r="DS172" s="268"/>
      <c r="DT172" s="268"/>
      <c r="DU172" s="268"/>
      <c r="DV172" s="268"/>
      <c r="DW172" s="344"/>
      <c r="DX172" s="344"/>
      <c r="DY172" s="344"/>
      <c r="DZ172" s="344"/>
      <c r="EA172" s="344"/>
      <c r="EB172" s="344"/>
      <c r="EC172" s="344"/>
      <c r="ED172" s="344"/>
      <c r="EE172" s="344"/>
      <c r="EF172" s="344"/>
      <c r="EG172" s="344"/>
      <c r="EH172" s="344"/>
    </row>
    <row r="173" spans="1:138" hidden="1">
      <c r="A173" s="268"/>
      <c r="B173" s="268"/>
      <c r="C173" s="268"/>
      <c r="D173" s="268"/>
      <c r="E173" s="268"/>
      <c r="F173" s="268"/>
      <c r="G173" s="268"/>
      <c r="H173" s="268"/>
      <c r="I173" s="268"/>
      <c r="J173" s="268"/>
      <c r="K173" s="268"/>
      <c r="L173" s="268"/>
      <c r="M173" s="268"/>
      <c r="N173" s="268"/>
      <c r="O173" s="268"/>
      <c r="P173" s="268"/>
      <c r="Q173" s="268"/>
      <c r="R173" s="268"/>
      <c r="S173" s="268"/>
      <c r="T173" s="268"/>
      <c r="U173" s="268"/>
      <c r="V173" s="268"/>
      <c r="W173" s="268"/>
      <c r="X173" s="268"/>
      <c r="Y173" s="268"/>
      <c r="Z173" s="268"/>
      <c r="AA173" s="268"/>
      <c r="AB173" s="268"/>
      <c r="AC173" s="268"/>
      <c r="AD173" s="268"/>
      <c r="AE173" s="268"/>
      <c r="AF173" s="268"/>
      <c r="AG173" s="268"/>
      <c r="AH173" s="268"/>
      <c r="AI173" s="268"/>
      <c r="AJ173" s="268"/>
      <c r="AK173" s="268"/>
      <c r="AL173" s="268"/>
      <c r="AM173" s="268"/>
      <c r="AN173" s="268"/>
      <c r="AO173" s="268"/>
      <c r="AP173" s="268"/>
      <c r="AQ173" s="268"/>
      <c r="AR173" s="268"/>
      <c r="AS173" s="268"/>
      <c r="AT173" s="268"/>
      <c r="AU173" s="268"/>
      <c r="AV173" s="268"/>
      <c r="AW173" s="268"/>
      <c r="AX173" s="268"/>
      <c r="AY173" s="268"/>
      <c r="AZ173" s="268"/>
      <c r="BA173" s="268"/>
      <c r="BB173" s="268"/>
      <c r="BC173" s="268"/>
      <c r="BD173" s="268"/>
      <c r="BE173" s="268"/>
      <c r="BF173" s="268"/>
      <c r="BG173" s="268"/>
      <c r="BH173" s="268"/>
      <c r="BI173" s="268"/>
      <c r="BJ173" s="268"/>
      <c r="BK173" s="268"/>
      <c r="BL173" s="268"/>
      <c r="BM173" s="268"/>
      <c r="BN173" s="268"/>
      <c r="BO173" s="268"/>
      <c r="BP173" s="268"/>
      <c r="BQ173" s="268"/>
      <c r="BR173" s="268"/>
      <c r="BS173" s="268"/>
      <c r="BT173" s="268"/>
      <c r="BU173" s="268"/>
      <c r="BV173" s="268"/>
      <c r="BW173" s="268"/>
      <c r="BX173" s="268"/>
      <c r="BY173" s="268"/>
      <c r="BZ173" s="268"/>
      <c r="CA173" s="268"/>
      <c r="CB173" s="268"/>
      <c r="CC173" s="268"/>
      <c r="CD173" s="268"/>
      <c r="CE173" s="268"/>
      <c r="CF173" s="268"/>
      <c r="CG173" s="268"/>
      <c r="CH173" s="268"/>
      <c r="CI173" s="268"/>
      <c r="CJ173" s="268"/>
      <c r="CK173" s="268"/>
      <c r="CL173" s="268"/>
      <c r="CM173" s="268"/>
      <c r="CN173" s="268"/>
      <c r="CO173" s="268"/>
      <c r="CP173" s="268"/>
      <c r="CQ173" s="268"/>
      <c r="CR173" s="268"/>
      <c r="CS173" s="268"/>
      <c r="CT173" s="268"/>
      <c r="CU173" s="268"/>
      <c r="CV173" s="268"/>
      <c r="CW173" s="268"/>
      <c r="CX173" s="268"/>
      <c r="CY173" s="268"/>
      <c r="CZ173" s="268"/>
      <c r="DA173" s="268"/>
      <c r="DB173" s="268"/>
      <c r="DC173" s="268"/>
      <c r="DD173" s="268"/>
      <c r="DE173" s="268"/>
      <c r="DF173" s="268"/>
      <c r="DG173" s="268"/>
      <c r="DH173" s="268"/>
      <c r="DI173" s="268"/>
      <c r="DJ173" s="268"/>
      <c r="DK173" s="268"/>
      <c r="DL173" s="268"/>
      <c r="DM173" s="268"/>
      <c r="DN173" s="268"/>
      <c r="DO173" s="268"/>
      <c r="DP173" s="268"/>
      <c r="DQ173" s="268"/>
      <c r="DR173" s="268"/>
      <c r="DS173" s="268"/>
      <c r="DT173" s="268"/>
      <c r="DU173" s="268"/>
      <c r="DV173" s="268"/>
      <c r="DW173" s="344"/>
      <c r="DX173" s="344"/>
      <c r="DY173" s="344"/>
      <c r="DZ173" s="344"/>
      <c r="EA173" s="344"/>
      <c r="EB173" s="344"/>
      <c r="EC173" s="344"/>
      <c r="ED173" s="344"/>
      <c r="EE173" s="344"/>
      <c r="EF173" s="344"/>
      <c r="EG173" s="344"/>
      <c r="EH173" s="344"/>
    </row>
    <row r="174" spans="1:138" ht="14.1" hidden="1"/>
    <row r="179" spans="5:103" ht="14.1">
      <c r="E179" s="345"/>
      <c r="F179" s="345"/>
      <c r="G179" s="345"/>
      <c r="H179" s="345"/>
      <c r="I179" s="345"/>
      <c r="J179" s="345"/>
      <c r="K179" s="345"/>
      <c r="L179" s="345"/>
      <c r="M179" s="345"/>
      <c r="N179" s="345"/>
      <c r="O179" s="345"/>
      <c r="P179" s="345"/>
      <c r="Q179" s="345"/>
      <c r="R179" s="345"/>
      <c r="S179" s="345"/>
      <c r="T179" s="345"/>
      <c r="U179" s="345"/>
      <c r="V179" s="345"/>
      <c r="W179" s="345"/>
      <c r="X179" s="345"/>
      <c r="Y179" s="345"/>
      <c r="Z179" s="345"/>
      <c r="AA179" s="345"/>
      <c r="AB179" s="345"/>
      <c r="AC179" s="345"/>
      <c r="AD179" s="345"/>
      <c r="AE179" s="345"/>
      <c r="AF179" s="345"/>
      <c r="AG179" s="345"/>
      <c r="AH179" s="345"/>
      <c r="AI179" s="345"/>
      <c r="AJ179" s="345"/>
      <c r="AK179" s="345"/>
      <c r="AL179" s="345"/>
      <c r="AM179" s="345"/>
      <c r="AN179" s="345"/>
      <c r="AO179" s="345"/>
      <c r="AP179" s="345"/>
      <c r="AQ179" s="345"/>
      <c r="AR179" s="345"/>
      <c r="AS179" s="345"/>
      <c r="AT179" s="345"/>
      <c r="AU179" s="345"/>
      <c r="AV179" s="345"/>
      <c r="AW179" s="345"/>
      <c r="AX179" s="345"/>
      <c r="AY179" s="345"/>
      <c r="AZ179" s="345"/>
      <c r="BA179" s="345"/>
      <c r="BB179" s="345"/>
      <c r="BC179" s="345"/>
      <c r="BD179" s="345"/>
      <c r="BE179" s="345"/>
      <c r="BF179" s="345"/>
      <c r="BG179" s="345"/>
      <c r="BH179" s="345"/>
      <c r="BI179" s="345"/>
      <c r="BJ179" s="345"/>
      <c r="BK179" s="345"/>
      <c r="BL179" s="345"/>
      <c r="BM179" s="345"/>
      <c r="BN179" s="345"/>
      <c r="BO179" s="345"/>
      <c r="BP179" s="345"/>
      <c r="BQ179" s="345"/>
      <c r="BR179" s="345"/>
      <c r="BS179" s="345"/>
      <c r="BT179" s="345"/>
      <c r="BU179" s="345"/>
      <c r="BV179" s="345"/>
      <c r="BW179" s="345"/>
      <c r="BX179" s="345"/>
      <c r="BY179" s="345"/>
      <c r="BZ179" s="345"/>
      <c r="CA179" s="345"/>
      <c r="CB179" s="345"/>
      <c r="CC179" s="345"/>
      <c r="CD179" s="345"/>
      <c r="CE179" s="345"/>
      <c r="CF179" s="345"/>
      <c r="CG179" s="345"/>
      <c r="CH179" s="345"/>
      <c r="CI179" s="345"/>
      <c r="CJ179" s="345"/>
      <c r="CK179" s="345"/>
      <c r="CL179" s="345"/>
      <c r="CM179" s="345"/>
      <c r="CN179" s="345"/>
      <c r="CO179" s="345"/>
      <c r="CP179" s="345"/>
      <c r="CQ179" s="345"/>
      <c r="CR179" s="345"/>
      <c r="CS179" s="345"/>
      <c r="CT179" s="345"/>
      <c r="CU179" s="345"/>
      <c r="CV179" s="345"/>
      <c r="CW179" s="345"/>
      <c r="CX179" s="345"/>
      <c r="CY179" s="345"/>
    </row>
  </sheetData>
  <mergeCells count="32">
    <mergeCell ref="BY2:BZ4"/>
    <mergeCell ref="BZ12:BZ16"/>
    <mergeCell ref="BY89:BZ89"/>
    <mergeCell ref="BZ90:BZ96"/>
    <mergeCell ref="E2:P2"/>
    <mergeCell ref="Q2:AB2"/>
    <mergeCell ref="AC2:AN2"/>
    <mergeCell ref="AO2:AZ2"/>
    <mergeCell ref="BA2:BL2"/>
    <mergeCell ref="BY97:BZ97"/>
    <mergeCell ref="BY98:BZ98"/>
    <mergeCell ref="BZ18:BZ88"/>
    <mergeCell ref="CC18:CC88"/>
    <mergeCell ref="BZ5:BZ8"/>
    <mergeCell ref="CC5:CC8"/>
    <mergeCell ref="BZ9:BZ11"/>
    <mergeCell ref="CC9:CC11"/>
    <mergeCell ref="CC12:CC16"/>
    <mergeCell ref="BY17:BZ17"/>
    <mergeCell ref="CB17:CC17"/>
    <mergeCell ref="B98:C98"/>
    <mergeCell ref="B99:C99"/>
    <mergeCell ref="D104:E104"/>
    <mergeCell ref="D107:BW107"/>
    <mergeCell ref="B2:C4"/>
    <mergeCell ref="B5:B8"/>
    <mergeCell ref="B9:B11"/>
    <mergeCell ref="B12:B16"/>
    <mergeCell ref="B17:C17"/>
    <mergeCell ref="B97:C97"/>
    <mergeCell ref="B18:B96"/>
    <mergeCell ref="BM2:BX2"/>
  </mergeCells>
  <conditionalFormatting sqref="E18:BX18 E25:BX25 E28:BX28 E36:BX36 E39:BX39 E48:BX48 E54:BX54 E62:BX62 E86:BX86 E89:BX89">
    <cfRule type="cellIs" dxfId="7" priority="1" operator="equal">
      <formula>0</formula>
    </cfRule>
  </conditionalFormatting>
  <conditionalFormatting sqref="F112:BS115 E113 BT113:BX113 E115 BT115:BX115 E126 F126:BX129 E128 E142 M142:BX142 F142:L145 E144 M144:BX144 E161:BX161">
    <cfRule type="cellIs" dxfId="6" priority="2" operator="equal">
      <formula>0</formula>
    </cfRule>
  </conditionalFormatting>
  <dataValidations disablePrompts="1" count="1">
    <dataValidation type="list" allowBlank="1" showErrorMessage="1" sqref="CB4" xr:uid="{00000000-0002-0000-0600-000000000000}">
      <formula1>$D$3:$BX$3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EH179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13" width="6.5" customWidth="1" outlineLevel="2"/>
    <col min="14" max="14" width="7.875" customWidth="1" outlineLevel="2"/>
    <col min="15" max="15" width="10.5" customWidth="1" outlineLevel="2"/>
    <col min="16" max="16" width="8.125" customWidth="1" outlineLevel="2"/>
    <col min="17" max="17" width="7.125" customWidth="1" outlineLevel="1"/>
    <col min="18" max="18" width="6.5" customWidth="1" outlineLevel="2"/>
    <col min="19" max="28" width="10.125" customWidth="1" outlineLevel="2"/>
    <col min="29" max="29" width="11.125" customWidth="1" outlineLevel="1"/>
    <col min="30" max="32" width="10.125" customWidth="1" outlineLevel="2"/>
    <col min="33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25" collapsed="1"/>
    <col min="80" max="82" width="12.625" hidden="1" outlineLevel="1"/>
  </cols>
  <sheetData>
    <row r="1" spans="1:138">
      <c r="A1" s="268"/>
      <c r="B1" s="269" t="s">
        <v>227</v>
      </c>
      <c r="C1" s="270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271"/>
      <c r="BC1" s="271"/>
      <c r="BD1" s="271"/>
      <c r="BE1" s="271"/>
      <c r="BF1" s="271"/>
      <c r="BG1" s="271"/>
      <c r="BH1" s="271"/>
      <c r="BI1" s="271"/>
      <c r="BJ1" s="271"/>
      <c r="BK1" s="271"/>
      <c r="BL1" s="271"/>
      <c r="BM1" s="271"/>
      <c r="BN1" s="271"/>
      <c r="BO1" s="271"/>
      <c r="BP1" s="271"/>
      <c r="BQ1" s="271"/>
      <c r="BR1" s="271"/>
      <c r="BS1" s="271"/>
      <c r="BT1" s="271"/>
      <c r="BU1" s="271"/>
      <c r="BV1" s="271"/>
      <c r="BW1" s="271"/>
      <c r="BX1" s="271"/>
      <c r="BY1" s="271"/>
      <c r="BZ1" s="271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</row>
    <row r="2" spans="1:138">
      <c r="A2" s="474"/>
      <c r="B2" s="574" t="s">
        <v>228</v>
      </c>
      <c r="C2" s="599"/>
      <c r="D2" s="474"/>
      <c r="E2" s="579">
        <v>45292</v>
      </c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8"/>
      <c r="Q2" s="588">
        <v>2025</v>
      </c>
      <c r="R2" s="607"/>
      <c r="S2" s="607"/>
      <c r="T2" s="607"/>
      <c r="U2" s="607"/>
      <c r="V2" s="607"/>
      <c r="W2" s="607"/>
      <c r="X2" s="607"/>
      <c r="Y2" s="607"/>
      <c r="Z2" s="607"/>
      <c r="AA2" s="607"/>
      <c r="AB2" s="608"/>
      <c r="AC2" s="588">
        <v>2026</v>
      </c>
      <c r="AD2" s="607"/>
      <c r="AE2" s="607"/>
      <c r="AF2" s="607"/>
      <c r="AG2" s="607"/>
      <c r="AH2" s="607"/>
      <c r="AI2" s="607"/>
      <c r="AJ2" s="607"/>
      <c r="AK2" s="607"/>
      <c r="AL2" s="607"/>
      <c r="AM2" s="607"/>
      <c r="AN2" s="608"/>
      <c r="AO2" s="579">
        <v>46388</v>
      </c>
      <c r="AP2" s="607"/>
      <c r="AQ2" s="607"/>
      <c r="AR2" s="607"/>
      <c r="AS2" s="607"/>
      <c r="AT2" s="607"/>
      <c r="AU2" s="607"/>
      <c r="AV2" s="607"/>
      <c r="AW2" s="607"/>
      <c r="AX2" s="607"/>
      <c r="AY2" s="607"/>
      <c r="AZ2" s="608"/>
      <c r="BA2" s="579">
        <v>46753</v>
      </c>
      <c r="BB2" s="607"/>
      <c r="BC2" s="607"/>
      <c r="BD2" s="607"/>
      <c r="BE2" s="607"/>
      <c r="BF2" s="607"/>
      <c r="BG2" s="607"/>
      <c r="BH2" s="607"/>
      <c r="BI2" s="607"/>
      <c r="BJ2" s="607"/>
      <c r="BK2" s="607"/>
      <c r="BL2" s="608"/>
      <c r="BM2" s="579">
        <v>47119</v>
      </c>
      <c r="BN2" s="607"/>
      <c r="BO2" s="607"/>
      <c r="BP2" s="607"/>
      <c r="BQ2" s="607"/>
      <c r="BR2" s="607"/>
      <c r="BS2" s="607"/>
      <c r="BT2" s="607"/>
      <c r="BU2" s="607"/>
      <c r="BV2" s="607"/>
      <c r="BW2" s="607"/>
      <c r="BX2" s="608"/>
      <c r="BY2" s="585" t="s">
        <v>229</v>
      </c>
      <c r="BZ2" s="599"/>
      <c r="CA2" s="268"/>
      <c r="CB2" s="268"/>
      <c r="CC2" s="268"/>
      <c r="CD2" s="268"/>
      <c r="CE2" s="268"/>
      <c r="CF2" s="268"/>
      <c r="CG2" s="268"/>
      <c r="CH2" s="268"/>
      <c r="CI2" s="268"/>
      <c r="CJ2" s="268"/>
      <c r="CK2" s="268"/>
      <c r="CL2" s="268"/>
      <c r="CM2" s="268"/>
      <c r="CN2" s="268"/>
      <c r="CO2" s="268"/>
      <c r="CP2" s="268"/>
      <c r="CQ2" s="268"/>
      <c r="CR2" s="268"/>
      <c r="CS2" s="268"/>
      <c r="CT2" s="268"/>
      <c r="CU2" s="268"/>
      <c r="CV2" s="268"/>
      <c r="CW2" s="268"/>
      <c r="CX2" s="268"/>
      <c r="CY2" s="268"/>
      <c r="CZ2" s="268"/>
      <c r="DA2" s="268"/>
      <c r="DB2" s="268"/>
      <c r="DC2" s="268"/>
      <c r="DD2" s="268"/>
      <c r="DE2" s="268"/>
      <c r="DF2" s="268"/>
      <c r="DG2" s="268"/>
      <c r="DH2" s="268"/>
      <c r="DI2" s="268"/>
      <c r="DJ2" s="268"/>
      <c r="DK2" s="268"/>
      <c r="DL2" s="268"/>
      <c r="DM2" s="268"/>
      <c r="DN2" s="268"/>
      <c r="DO2" s="268"/>
      <c r="DP2" s="268"/>
      <c r="DQ2" s="268"/>
      <c r="DR2" s="268"/>
      <c r="DS2" s="268"/>
      <c r="DT2" s="268"/>
      <c r="DU2" s="268"/>
      <c r="DV2" s="268"/>
      <c r="DW2" s="268"/>
      <c r="DX2" s="268"/>
      <c r="DY2" s="268"/>
      <c r="DZ2" s="268"/>
      <c r="EA2" s="268"/>
      <c r="EB2" s="268"/>
      <c r="EC2" s="268"/>
      <c r="ED2" s="268"/>
      <c r="EE2" s="268"/>
      <c r="EF2" s="268"/>
      <c r="EG2" s="268"/>
      <c r="EH2" s="268"/>
    </row>
    <row r="3" spans="1:138">
      <c r="A3" s="474"/>
      <c r="B3" s="594"/>
      <c r="C3" s="599"/>
      <c r="D3" s="474"/>
      <c r="E3" s="272" t="str">
        <f>IFERROR(VLOOKUP(TEXT(E4,"mm.yyyy"),HMG!$B$2:$C$1001, 2, FALSE),"")</f>
        <v>zapis KS</v>
      </c>
      <c r="F3" s="272" t="str">
        <f>IFERROR(VLOOKUP(TEXT(F4,"mm.yyyy"),HMG!$B$2:$C$1001, 2, FALSE),"")</f>
        <v/>
      </c>
      <c r="G3" s="272" t="str">
        <f>IFERROR(VLOOKUP(TEXT(G4,"mm.yyyy"),HMG!$B$2:$C$1001, 2, FALSE),"")</f>
        <v/>
      </c>
      <c r="H3" s="272" t="str">
        <f>IFERROR(VLOOKUP(TEXT(H4,"mm.yyyy"),HMG!$B$2:$C$1001, 2, FALSE),"")</f>
        <v/>
      </c>
      <c r="I3" s="272" t="str">
        <f>IFERROR(VLOOKUP(TEXT(I4,"mm.yyyy"),HMG!$B$2:$C$1001, 2, FALSE),"")</f>
        <v/>
      </c>
      <c r="J3" s="272" t="str">
        <f>IFERROR(VLOOKUP(TEXT(J4,"mm.yyyy"),HMG!$B$2:$C$1001, 2, FALSE),"")</f>
        <v/>
      </c>
      <c r="K3" s="272" t="str">
        <f>IFERROR(VLOOKUP(TEXT(K4,"mm.yyyy"),HMG!$B$2:$C$1001, 2, FALSE),"")</f>
        <v/>
      </c>
      <c r="L3" s="272" t="str">
        <f>IFERROR(VLOOKUP(TEXT(L4,"mm.yyyy"),HMG!$B$2:$C$1001, 2, FALSE),"")</f>
        <v/>
      </c>
      <c r="M3" s="272" t="str">
        <f>IFERROR(VLOOKUP(TEXT(M4,"mm.yyyy"),HMG!$B$2:$C$1001, 2, FALSE),"")</f>
        <v/>
      </c>
      <c r="N3" s="272" t="str">
        <f>IFERROR(VLOOKUP(TEXT(N4,"mm.yyyy"),HMG!$B$2:$C$1001, 2, FALSE),"")</f>
        <v/>
      </c>
      <c r="O3" s="272" t="str">
        <f>IFERROR(VLOOKUP(TEXT(O4,"mm.yyyy"),HMG!$B$2:$C$1001, 2, FALSE),"")</f>
        <v/>
      </c>
      <c r="P3" s="272" t="str">
        <f>IFERROR(VLOOKUP(TEXT(P4,"mm.yyyy"),HMG!$B$2:$C$1001, 2, FALSE),"")</f>
        <v/>
      </c>
      <c r="Q3" s="272" t="str">
        <f>IFERROR(VLOOKUP(TEXT(Q4,"mm.yyyy"),HMG!$B$2:$C$1001, 2, FALSE),"")</f>
        <v>zapis KS</v>
      </c>
      <c r="R3" s="272" t="str">
        <f>IFERROR(VLOOKUP(TEXT(R4,"mm.yyyy"),HMG!$B$2:$C$1001, 2, FALSE),"")</f>
        <v/>
      </c>
      <c r="S3" s="272" t="str">
        <f>IFERROR(VLOOKUP(TEXT(S4,"mm.yyyy"),HMG!$B$2:$C$1001, 2, FALSE),"")</f>
        <v/>
      </c>
      <c r="T3" s="272" t="str">
        <f>IFERROR(VLOOKUP(TEXT(T4,"mm.yyyy"),HMG!$B$2:$C$1001, 2, FALSE),"")</f>
        <v/>
      </c>
      <c r="U3" s="272" t="str">
        <f>IFERROR(VLOOKUP(TEXT(U4,"mm.yyyy"),HMG!$B$2:$C$1001, 2, FALSE),"")</f>
        <v/>
      </c>
      <c r="V3" s="272" t="str">
        <f>IFERROR(VLOOKUP(TEXT(V4,"mm.yyyy"),HMG!$B$2:$C$1001, 2, FALSE),"")</f>
        <v/>
      </c>
      <c r="W3" s="272" t="str">
        <f>IFERROR(VLOOKUP(TEXT(W4,"mm.yyyy"),HMG!$B$2:$C$1001, 2, FALSE),"")</f>
        <v/>
      </c>
      <c r="X3" s="272" t="str">
        <f>IFERROR(VLOOKUP(TEXT(X4,"mm.yyyy"),HMG!$B$2:$C$1001, 2, FALSE),"")</f>
        <v/>
      </c>
      <c r="Y3" s="272" t="str">
        <f>IFERROR(VLOOKUP(TEXT(Y4,"mm.yyyy"),HMG!$B$2:$C$1001, 2, FALSE),"")</f>
        <v/>
      </c>
      <c r="Z3" s="272" t="str">
        <f>IFERROR(VLOOKUP(TEXT(Z4,"mm.yyyy"),HMG!$B$2:$C$1001, 2, FALSE),"")</f>
        <v/>
      </c>
      <c r="AA3" s="272" t="str">
        <f>IFERROR(VLOOKUP(TEXT(AA4,"mm.yyyy"),HMG!$B$2:$C$1001, 2, FALSE),"")</f>
        <v/>
      </c>
      <c r="AB3" s="272" t="str">
        <f>IFERROR(VLOOKUP(TEXT(AB4,"mm.yyyy"),HMG!$B$2:$C$1001, 2, FALSE),"")</f>
        <v/>
      </c>
      <c r="AC3" s="272" t="str">
        <f>IFERROR(VLOOKUP(TEXT(AC4,"mm.yyyy"),HMG!$B$2:$C$1001, 2, FALSE),"")</f>
        <v>zapis KS</v>
      </c>
      <c r="AD3" s="272" t="str">
        <f>IFERROR(VLOOKUP(TEXT(AD4,"mm.yyyy"),HMG!$B$2:$C$1001, 2, FALSE),"")</f>
        <v/>
      </c>
      <c r="AE3" s="272" t="str">
        <f>IFERROR(VLOOKUP(TEXT(AE4,"mm.yyyy"),HMG!$B$2:$C$1001, 2, FALSE),"")</f>
        <v/>
      </c>
      <c r="AF3" s="272" t="str">
        <f>IFERROR(VLOOKUP(TEXT(AF4,"mm.yyyy"),HMG!$B$2:$C$1001, 2, FALSE),"")</f>
        <v/>
      </c>
      <c r="AG3" s="272" t="str">
        <f>IFERROR(VLOOKUP(TEXT(AG4,"mm.yyyy"),HMG!$B$2:$C$1001, 2, FALSE),"")</f>
        <v/>
      </c>
      <c r="AH3" s="272" t="str">
        <f>IFERROR(VLOOKUP(TEXT(AH4,"mm.yyyy"),HMG!$B$2:$C$1001, 2, FALSE),"")</f>
        <v/>
      </c>
      <c r="AI3" s="272" t="str">
        <f>IFERROR(VLOOKUP(TEXT(AI4,"mm.yyyy"),HMG!$B$2:$C$1001, 2, FALSE),"")</f>
        <v/>
      </c>
      <c r="AJ3" s="272" t="str">
        <f>IFERROR(VLOOKUP(TEXT(AJ4,"mm.yyyy"),HMG!$B$2:$C$1001, 2, FALSE),"")</f>
        <v/>
      </c>
      <c r="AK3" s="272" t="str">
        <f>IFERROR(VLOOKUP(TEXT(AK4,"mm.yyyy"),HMG!$B$2:$C$1001, 2, FALSE),"")</f>
        <v/>
      </c>
      <c r="AL3" s="272" t="str">
        <f>IFERROR(VLOOKUP(TEXT(AL4,"mm.yyyy"),HMG!$B$2:$C$1001, 2, FALSE),"")</f>
        <v/>
      </c>
      <c r="AM3" s="272" t="str">
        <f>IFERROR(VLOOKUP(TEXT(AM4,"mm.yyyy"),HMG!$B$2:$C$1001, 2, FALSE),"")</f>
        <v/>
      </c>
      <c r="AN3" s="272" t="str">
        <f>IFERROR(VLOOKUP(TEXT(AN4,"mm.yyyy"),HMG!$B$2:$C$1001, 2, FALSE),"")</f>
        <v/>
      </c>
      <c r="AO3" s="272" t="str">
        <f>IFERROR(VLOOKUP(TEXT(AO4,"mm.yyyy"),HMG!$B$2:$C$1001, 2, FALSE),"")</f>
        <v>zapis KS</v>
      </c>
      <c r="AP3" s="272" t="str">
        <f>IFERROR(VLOOKUP(TEXT(AP4,"mm.yyyy"),HMG!$B$2:$C$1001, 2, FALSE),"")</f>
        <v/>
      </c>
      <c r="AQ3" s="272" t="str">
        <f>IFERROR(VLOOKUP(TEXT(AQ4,"mm.yyyy"),HMG!$B$2:$C$1001, 2, FALSE),"")</f>
        <v/>
      </c>
      <c r="AR3" s="272" t="str">
        <f>IFERROR(VLOOKUP(TEXT(AR4,"mm.yyyy"),HMG!$B$2:$C$1001, 2, FALSE),"")</f>
        <v/>
      </c>
      <c r="AS3" s="272" t="str">
        <f>IFERROR(VLOOKUP(TEXT(AS4,"mm.yyyy"),HMG!$B$2:$C$1001, 2, FALSE),"")</f>
        <v/>
      </c>
      <c r="AT3" s="272" t="str">
        <f>IFERROR(VLOOKUP(TEXT(AT4,"mm.yyyy"),HMG!$B$2:$C$1001, 2, FALSE),"")</f>
        <v/>
      </c>
      <c r="AU3" s="272" t="str">
        <f>IFERROR(VLOOKUP(TEXT(AU4,"mm.yyyy"),HMG!$B$2:$C$1001, 2, FALSE),"")</f>
        <v/>
      </c>
      <c r="AV3" s="272" t="str">
        <f>IFERROR(VLOOKUP(TEXT(AV4,"mm.yyyy"),HMG!$B$2:$C$1001, 2, FALSE),"")</f>
        <v/>
      </c>
      <c r="AW3" s="272" t="str">
        <f>IFERROR(VLOOKUP(TEXT(AW4,"mm.yyyy"),HMG!$B$2:$C$1001, 2, FALSE),"")</f>
        <v/>
      </c>
      <c r="AX3" s="272" t="str">
        <f>IFERROR(VLOOKUP(TEXT(AX4,"mm.yyyy"),HMG!$B$2:$C$1001, 2, FALSE),"")</f>
        <v/>
      </c>
      <c r="AY3" s="272" t="str">
        <f>IFERROR(VLOOKUP(TEXT(AY4,"mm.yyyy"),HMG!$B$2:$C$1001, 2, FALSE),"")</f>
        <v/>
      </c>
      <c r="AZ3" s="272" t="str">
        <f>IFERROR(VLOOKUP(TEXT(AZ4,"mm.yyyy"),HMG!$B$2:$C$1001, 2, FALSE),"")</f>
        <v/>
      </c>
      <c r="BA3" s="272" t="str">
        <f>IFERROR(VLOOKUP(TEXT(BA4,"mm.yyyy"),HMG!$B$2:$C$1001, 2, FALSE),"")</f>
        <v>zapis KS</v>
      </c>
      <c r="BB3" s="272" t="str">
        <f>IFERROR(VLOOKUP(TEXT(BB4,"mm.yyyy"),HMG!$B$2:$C$1001, 2, FALSE),"")</f>
        <v/>
      </c>
      <c r="BC3" s="272" t="str">
        <f>IFERROR(VLOOKUP(TEXT(BC4,"mm.yyyy"),HMG!$B$2:$C$1001, 2, FALSE),"")</f>
        <v/>
      </c>
      <c r="BD3" s="272" t="str">
        <f>IFERROR(VLOOKUP(TEXT(BD4,"mm.yyyy"),HMG!$B$2:$C$1001, 2, FALSE),"")</f>
        <v/>
      </c>
      <c r="BE3" s="272" t="str">
        <f>IFERROR(VLOOKUP(TEXT(BE4,"mm.yyyy"),HMG!$B$2:$C$1001, 2, FALSE),"")</f>
        <v/>
      </c>
      <c r="BF3" s="272" t="str">
        <f>IFERROR(VLOOKUP(TEXT(BF4,"mm.yyyy"),HMG!$B$2:$C$1001, 2, FALSE),"")</f>
        <v/>
      </c>
      <c r="BG3" s="272" t="str">
        <f>IFERROR(VLOOKUP(TEXT(BG4,"mm.yyyy"),HMG!$B$2:$C$1001, 2, FALSE),"")</f>
        <v/>
      </c>
      <c r="BH3" s="272" t="str">
        <f>IFERROR(VLOOKUP(TEXT(BH4,"mm.yyyy"),HMG!$B$2:$C$1001, 2, FALSE),"")</f>
        <v/>
      </c>
      <c r="BI3" s="272" t="str">
        <f>IFERROR(VLOOKUP(TEXT(BI4,"mm.yyyy"),HMG!$B$2:$C$1001, 2, FALSE),"")</f>
        <v/>
      </c>
      <c r="BJ3" s="272" t="str">
        <f>IFERROR(VLOOKUP(TEXT(BJ4,"mm.yyyy"),HMG!$B$2:$C$1001, 2, FALSE),"")</f>
        <v/>
      </c>
      <c r="BK3" s="272" t="str">
        <f>IFERROR(VLOOKUP(TEXT(BK4,"mm.yyyy"),HMG!$B$2:$C$1001, 2, FALSE),"")</f>
        <v/>
      </c>
      <c r="BL3" s="272" t="str">
        <f>IFERROR(VLOOKUP(TEXT(BL4,"mm.yyyy"),HMG!$B$2:$C$1001, 2, FALSE),"")</f>
        <v/>
      </c>
      <c r="BM3" s="272" t="str">
        <f>IFERROR(VLOOKUP(TEXT(BM4,"mm.yyyy"),HMG!$B$2:$C$1001, 2, FALSE),"")</f>
        <v>zapis KS</v>
      </c>
      <c r="BN3" s="272" t="str">
        <f>IFERROR(VLOOKUP(TEXT(BN4,"mm.yyyy"),HMG!$B$2:$C$1001, 2, FALSE),"")</f>
        <v/>
      </c>
      <c r="BO3" s="272" t="str">
        <f>IFERROR(VLOOKUP(TEXT(BO4,"mm.yyyy"),HMG!$B$2:$C$1001, 2, FALSE),"")</f>
        <v/>
      </c>
      <c r="BP3" s="272" t="str">
        <f>IFERROR(VLOOKUP(TEXT(BP4,"mm.yyyy"),HMG!$B$2:$C$1001, 2, FALSE),"")</f>
        <v/>
      </c>
      <c r="BQ3" s="272" t="str">
        <f>IFERROR(VLOOKUP(TEXT(BQ4,"mm.yyyy"),HMG!$B$2:$C$1001, 2, FALSE),"")</f>
        <v/>
      </c>
      <c r="BR3" s="272" t="str">
        <f>IFERROR(VLOOKUP(TEXT(BR4,"mm.yyyy"),HMG!$B$2:$C$1001, 2, FALSE),"")</f>
        <v/>
      </c>
      <c r="BS3" s="272" t="str">
        <f>IFERROR(VLOOKUP(TEXT(BS4,"mm.yyyy"),HMG!$B$2:$C$1001, 2, FALSE),"")</f>
        <v/>
      </c>
      <c r="BT3" s="272" t="str">
        <f>IFERROR(VLOOKUP(TEXT(BT4,"mm.yyyy"),HMG!$B$2:$C$1001, 2, FALSE),"")</f>
        <v/>
      </c>
      <c r="BU3" s="272" t="str">
        <f>IFERROR(VLOOKUP(TEXT(BU4,"mm.yyyy"),HMG!$B$2:$C$1001, 2, FALSE),"")</f>
        <v/>
      </c>
      <c r="BV3" s="272" t="str">
        <f>IFERROR(VLOOKUP(TEXT(BV4,"mm.yyyy"),HMG!$B$2:$C$1001, 2, FALSE),"")</f>
        <v/>
      </c>
      <c r="BW3" s="272" t="str">
        <f>IFERROR(VLOOKUP(TEXT(BW4,"mm.yyyy"),HMG!$B$2:$C$1001, 2, FALSE),"")</f>
        <v/>
      </c>
      <c r="BX3" s="272" t="str">
        <f>IFERROR(VLOOKUP(TEXT(BX4,"mm.yyyy"),HMG!$B$2:$C$1001, 2, FALSE),"")</f>
        <v/>
      </c>
      <c r="BY3" s="594"/>
      <c r="BZ3" s="599"/>
      <c r="CA3" s="268"/>
      <c r="CB3" s="268" t="s">
        <v>230</v>
      </c>
      <c r="CC3" s="268" t="s">
        <v>231</v>
      </c>
      <c r="CD3" s="268"/>
      <c r="CE3" s="268"/>
      <c r="CF3" s="268"/>
      <c r="CG3" s="268"/>
      <c r="CH3" s="268"/>
      <c r="CI3" s="268"/>
      <c r="CJ3" s="268"/>
      <c r="CK3" s="268"/>
      <c r="CL3" s="268"/>
      <c r="CM3" s="268"/>
      <c r="CN3" s="268"/>
      <c r="CO3" s="268"/>
      <c r="CP3" s="268"/>
      <c r="CQ3" s="268"/>
      <c r="CR3" s="268"/>
      <c r="CS3" s="268"/>
      <c r="CT3" s="268"/>
      <c r="CU3" s="268"/>
      <c r="CV3" s="268"/>
      <c r="CW3" s="268"/>
      <c r="CX3" s="268"/>
      <c r="CY3" s="268"/>
      <c r="CZ3" s="268"/>
      <c r="DA3" s="268"/>
      <c r="DB3" s="268"/>
      <c r="DC3" s="268"/>
      <c r="DD3" s="268"/>
      <c r="DE3" s="268"/>
      <c r="DF3" s="268"/>
      <c r="DG3" s="268"/>
      <c r="DH3" s="268"/>
      <c r="DI3" s="268"/>
      <c r="DJ3" s="268"/>
      <c r="DK3" s="268"/>
      <c r="DL3" s="268"/>
      <c r="DM3" s="268"/>
      <c r="DN3" s="268"/>
      <c r="DO3" s="268"/>
      <c r="DP3" s="268"/>
      <c r="DQ3" s="268"/>
      <c r="DR3" s="268"/>
      <c r="DS3" s="268"/>
      <c r="DT3" s="268"/>
      <c r="DU3" s="268"/>
      <c r="DV3" s="268"/>
      <c r="DW3" s="268"/>
      <c r="DX3" s="268"/>
      <c r="DY3" s="268"/>
      <c r="DZ3" s="268"/>
      <c r="EA3" s="268"/>
      <c r="EB3" s="268"/>
      <c r="EC3" s="268"/>
      <c r="ED3" s="268"/>
      <c r="EE3" s="268"/>
      <c r="EF3" s="268"/>
      <c r="EG3" s="268"/>
      <c r="EH3" s="268"/>
    </row>
    <row r="4" spans="1:138">
      <c r="A4" s="474"/>
      <c r="B4" s="597"/>
      <c r="C4" s="598"/>
      <c r="D4" s="507"/>
      <c r="E4" s="273">
        <v>45292</v>
      </c>
      <c r="F4" s="273">
        <v>45323</v>
      </c>
      <c r="G4" s="273">
        <v>45352</v>
      </c>
      <c r="H4" s="273">
        <v>45383</v>
      </c>
      <c r="I4" s="273">
        <v>45413</v>
      </c>
      <c r="J4" s="273">
        <v>45444</v>
      </c>
      <c r="K4" s="273">
        <v>45474</v>
      </c>
      <c r="L4" s="273">
        <v>45505</v>
      </c>
      <c r="M4" s="273">
        <v>45536</v>
      </c>
      <c r="N4" s="273">
        <v>45566</v>
      </c>
      <c r="O4" s="273">
        <v>45597</v>
      </c>
      <c r="P4" s="273">
        <v>45627</v>
      </c>
      <c r="Q4" s="273">
        <v>45658</v>
      </c>
      <c r="R4" s="273">
        <v>45689</v>
      </c>
      <c r="S4" s="273">
        <v>45717</v>
      </c>
      <c r="T4" s="273">
        <v>45748</v>
      </c>
      <c r="U4" s="273">
        <v>45778</v>
      </c>
      <c r="V4" s="273">
        <v>45809</v>
      </c>
      <c r="W4" s="273">
        <v>45839</v>
      </c>
      <c r="X4" s="273">
        <v>45870</v>
      </c>
      <c r="Y4" s="273">
        <v>45901</v>
      </c>
      <c r="Z4" s="273">
        <v>45931</v>
      </c>
      <c r="AA4" s="273">
        <v>45962</v>
      </c>
      <c r="AB4" s="273">
        <v>45992</v>
      </c>
      <c r="AC4" s="273">
        <v>46023</v>
      </c>
      <c r="AD4" s="273">
        <v>46054</v>
      </c>
      <c r="AE4" s="273">
        <v>46082</v>
      </c>
      <c r="AF4" s="273">
        <v>46113</v>
      </c>
      <c r="AG4" s="273">
        <v>46143</v>
      </c>
      <c r="AH4" s="273">
        <v>46174</v>
      </c>
      <c r="AI4" s="273">
        <v>46204</v>
      </c>
      <c r="AJ4" s="273">
        <v>46235</v>
      </c>
      <c r="AK4" s="273">
        <v>46266</v>
      </c>
      <c r="AL4" s="273">
        <v>46296</v>
      </c>
      <c r="AM4" s="273">
        <v>46327</v>
      </c>
      <c r="AN4" s="273">
        <v>46357</v>
      </c>
      <c r="AO4" s="273">
        <v>46388</v>
      </c>
      <c r="AP4" s="273">
        <v>46419</v>
      </c>
      <c r="AQ4" s="273">
        <v>46447</v>
      </c>
      <c r="AR4" s="273">
        <v>46478</v>
      </c>
      <c r="AS4" s="273">
        <v>46508</v>
      </c>
      <c r="AT4" s="273">
        <v>46539</v>
      </c>
      <c r="AU4" s="273">
        <v>46569</v>
      </c>
      <c r="AV4" s="273">
        <v>46600</v>
      </c>
      <c r="AW4" s="273">
        <v>46631</v>
      </c>
      <c r="AX4" s="273">
        <v>46661</v>
      </c>
      <c r="AY4" s="273">
        <v>46692</v>
      </c>
      <c r="AZ4" s="273">
        <v>46722</v>
      </c>
      <c r="BA4" s="273">
        <v>46753</v>
      </c>
      <c r="BB4" s="273">
        <v>46784</v>
      </c>
      <c r="BC4" s="273">
        <v>46813</v>
      </c>
      <c r="BD4" s="273">
        <v>46844</v>
      </c>
      <c r="BE4" s="273">
        <v>46874</v>
      </c>
      <c r="BF4" s="273">
        <v>46905</v>
      </c>
      <c r="BG4" s="273">
        <v>46935</v>
      </c>
      <c r="BH4" s="273">
        <v>46966</v>
      </c>
      <c r="BI4" s="273">
        <v>46997</v>
      </c>
      <c r="BJ4" s="273">
        <v>47027</v>
      </c>
      <c r="BK4" s="273">
        <v>47058</v>
      </c>
      <c r="BL4" s="273">
        <v>47088</v>
      </c>
      <c r="BM4" s="273">
        <v>47119</v>
      </c>
      <c r="BN4" s="273">
        <v>47150</v>
      </c>
      <c r="BO4" s="273">
        <v>47178</v>
      </c>
      <c r="BP4" s="273">
        <v>47209</v>
      </c>
      <c r="BQ4" s="273">
        <v>47239</v>
      </c>
      <c r="BR4" s="273">
        <v>47270</v>
      </c>
      <c r="BS4" s="273">
        <v>47300</v>
      </c>
      <c r="BT4" s="273">
        <v>47331</v>
      </c>
      <c r="BU4" s="273">
        <v>47362</v>
      </c>
      <c r="BV4" s="273">
        <v>47392</v>
      </c>
      <c r="BW4" s="273">
        <v>47423</v>
      </c>
      <c r="BX4" s="273">
        <v>47453</v>
      </c>
      <c r="BY4" s="597"/>
      <c r="BZ4" s="598"/>
      <c r="CA4" s="268"/>
      <c r="CB4" s="268" t="s">
        <v>56</v>
      </c>
      <c r="CC4" s="268"/>
      <c r="CD4" s="268"/>
      <c r="CE4" s="268"/>
      <c r="CF4" s="268"/>
      <c r="CG4" s="268"/>
      <c r="CH4" s="268"/>
      <c r="CI4" s="268"/>
      <c r="CJ4" s="268"/>
      <c r="CK4" s="268"/>
      <c r="CL4" s="268"/>
      <c r="CM4" s="268"/>
      <c r="CN4" s="268"/>
      <c r="CO4" s="268"/>
      <c r="CP4" s="268"/>
      <c r="CQ4" s="268"/>
      <c r="CR4" s="268"/>
      <c r="CS4" s="268"/>
      <c r="CT4" s="268"/>
      <c r="CU4" s="268"/>
      <c r="CV4" s="268"/>
      <c r="CW4" s="268"/>
      <c r="CX4" s="268"/>
      <c r="CY4" s="268"/>
      <c r="CZ4" s="268"/>
      <c r="DA4" s="268"/>
      <c r="DB4" s="268"/>
      <c r="DC4" s="268"/>
      <c r="DD4" s="268"/>
      <c r="DE4" s="268"/>
      <c r="DF4" s="268"/>
      <c r="DG4" s="268"/>
      <c r="DH4" s="268"/>
      <c r="DI4" s="268"/>
      <c r="DJ4" s="268"/>
      <c r="DK4" s="268"/>
      <c r="DL4" s="268"/>
      <c r="DM4" s="268"/>
      <c r="DN4" s="268"/>
      <c r="DO4" s="268"/>
      <c r="DP4" s="268"/>
      <c r="DQ4" s="268"/>
      <c r="DR4" s="268"/>
      <c r="DS4" s="268"/>
      <c r="DT4" s="268"/>
      <c r="DU4" s="268"/>
      <c r="DV4" s="268"/>
      <c r="DW4" s="268"/>
      <c r="DX4" s="268"/>
      <c r="DY4" s="268"/>
      <c r="DZ4" s="268"/>
      <c r="EA4" s="268"/>
      <c r="EB4" s="268"/>
      <c r="EC4" s="268"/>
      <c r="ED4" s="268"/>
      <c r="EE4" s="268"/>
      <c r="EF4" s="268"/>
      <c r="EG4" s="268"/>
      <c r="EH4" s="268"/>
    </row>
    <row r="5" spans="1:138">
      <c r="A5" s="474"/>
      <c r="B5" s="575" t="s">
        <v>232</v>
      </c>
      <c r="C5" s="274" t="s">
        <v>233</v>
      </c>
      <c r="D5" s="275" t="s">
        <v>234</v>
      </c>
      <c r="E5" s="276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  <c r="AR5" s="277"/>
      <c r="AS5" s="277"/>
      <c r="AT5" s="277"/>
      <c r="AU5" s="277"/>
      <c r="AV5" s="277"/>
      <c r="AW5" s="277"/>
      <c r="AX5" s="277"/>
      <c r="AY5" s="277"/>
      <c r="AZ5" s="277"/>
      <c r="BA5" s="277"/>
      <c r="BB5" s="277"/>
      <c r="BC5" s="277"/>
      <c r="BD5" s="277"/>
      <c r="BE5" s="277"/>
      <c r="BF5" s="277"/>
      <c r="BG5" s="277"/>
      <c r="BH5" s="277"/>
      <c r="BI5" s="277"/>
      <c r="BJ5" s="277"/>
      <c r="BK5" s="277"/>
      <c r="BL5" s="277"/>
      <c r="BM5" s="277"/>
      <c r="BN5" s="277"/>
      <c r="BO5" s="277"/>
      <c r="BP5" s="277"/>
      <c r="BQ5" s="277"/>
      <c r="BR5" s="277"/>
      <c r="BS5" s="277"/>
      <c r="BT5" s="277"/>
      <c r="BU5" s="277"/>
      <c r="BV5" s="277"/>
      <c r="BW5" s="277"/>
      <c r="BX5" s="278"/>
      <c r="BY5" s="279">
        <f t="shared" ref="BY5:BY16" si="0">SUM(E5:BX5)</f>
        <v>0</v>
      </c>
      <c r="BZ5" s="583">
        <f>SUM(BY5:BY8)</f>
        <v>19900000</v>
      </c>
      <c r="CA5" s="268"/>
      <c r="CB5" s="279">
        <f t="shared" ref="CB5:CB14" si="1">SUM(H5:CA5)</f>
        <v>19900000</v>
      </c>
      <c r="CC5" s="583">
        <f>SUM(CB5:CB8)</f>
        <v>59700000</v>
      </c>
      <c r="CD5" s="268"/>
      <c r="CE5" s="268"/>
      <c r="CF5" s="268"/>
      <c r="CG5" s="268"/>
      <c r="CH5" s="268"/>
      <c r="CI5" s="268"/>
      <c r="CJ5" s="268"/>
      <c r="CK5" s="268"/>
      <c r="CL5" s="268"/>
      <c r="CM5" s="268"/>
      <c r="CN5" s="268"/>
      <c r="CO5" s="268"/>
      <c r="CP5" s="268"/>
      <c r="CQ5" s="268"/>
      <c r="CR5" s="268"/>
      <c r="CS5" s="268"/>
      <c r="CT5" s="268"/>
      <c r="CU5" s="268"/>
      <c r="CV5" s="268"/>
      <c r="CW5" s="268"/>
      <c r="CX5" s="268"/>
      <c r="CY5" s="268"/>
      <c r="CZ5" s="268"/>
      <c r="DA5" s="268"/>
      <c r="DB5" s="268"/>
      <c r="DC5" s="268"/>
      <c r="DD5" s="268"/>
      <c r="DE5" s="268"/>
      <c r="DF5" s="268"/>
      <c r="DG5" s="268"/>
      <c r="DH5" s="268"/>
      <c r="DI5" s="268"/>
      <c r="DJ5" s="268"/>
      <c r="DK5" s="268"/>
      <c r="DL5" s="268"/>
      <c r="DM5" s="268"/>
      <c r="DN5" s="268"/>
      <c r="DO5" s="268"/>
      <c r="DP5" s="268"/>
      <c r="DQ5" s="268"/>
      <c r="DR5" s="268"/>
      <c r="DS5" s="268"/>
      <c r="DT5" s="268"/>
      <c r="DU5" s="268"/>
      <c r="DV5" s="268"/>
      <c r="DW5" s="268"/>
      <c r="DX5" s="268"/>
      <c r="DY5" s="268"/>
      <c r="DZ5" s="268"/>
      <c r="EA5" s="268"/>
      <c r="EB5" s="268"/>
      <c r="EC5" s="268"/>
      <c r="ED5" s="268"/>
      <c r="EE5" s="268"/>
      <c r="EF5" s="268"/>
      <c r="EG5" s="268"/>
      <c r="EH5" s="268"/>
    </row>
    <row r="6" spans="1:138">
      <c r="A6" s="474"/>
      <c r="B6" s="609"/>
      <c r="C6" s="508" t="s">
        <v>235</v>
      </c>
      <c r="D6" s="275" t="s">
        <v>234</v>
      </c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>
        <v>1200000</v>
      </c>
      <c r="T6" s="277">
        <v>15000000</v>
      </c>
      <c r="U6" s="277">
        <v>3700000</v>
      </c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4"/>
      <c r="BY6" s="279">
        <f t="shared" si="0"/>
        <v>19900000</v>
      </c>
      <c r="BZ6" s="599"/>
      <c r="CA6" s="268"/>
      <c r="CB6" s="279">
        <f t="shared" si="1"/>
        <v>39800000</v>
      </c>
      <c r="CC6" s="599"/>
      <c r="CD6" s="268"/>
      <c r="CE6" s="268"/>
      <c r="CF6" s="268"/>
      <c r="CG6" s="268"/>
      <c r="CH6" s="268"/>
      <c r="CI6" s="268"/>
      <c r="CJ6" s="268"/>
      <c r="CK6" s="268"/>
      <c r="CL6" s="268"/>
      <c r="CM6" s="268"/>
      <c r="CN6" s="268"/>
      <c r="CO6" s="268"/>
      <c r="CP6" s="268"/>
      <c r="CQ6" s="268"/>
      <c r="CR6" s="268"/>
      <c r="CS6" s="268"/>
      <c r="CT6" s="268"/>
      <c r="CU6" s="268"/>
      <c r="CV6" s="268"/>
      <c r="CW6" s="268"/>
      <c r="CX6" s="268"/>
      <c r="CY6" s="268"/>
      <c r="CZ6" s="268"/>
      <c r="DA6" s="268"/>
      <c r="DB6" s="268"/>
      <c r="DC6" s="268"/>
      <c r="DD6" s="268"/>
      <c r="DE6" s="268"/>
      <c r="DF6" s="268"/>
      <c r="DG6" s="268"/>
      <c r="DH6" s="268"/>
      <c r="DI6" s="268"/>
      <c r="DJ6" s="268"/>
      <c r="DK6" s="268"/>
      <c r="DL6" s="268"/>
      <c r="DM6" s="268"/>
      <c r="DN6" s="268"/>
      <c r="DO6" s="268"/>
      <c r="DP6" s="268"/>
      <c r="DQ6" s="268"/>
      <c r="DR6" s="268"/>
      <c r="DS6" s="268"/>
      <c r="DT6" s="268"/>
      <c r="DU6" s="268"/>
      <c r="DV6" s="268"/>
      <c r="DW6" s="268"/>
      <c r="DX6" s="268"/>
      <c r="DY6" s="268"/>
      <c r="DZ6" s="268"/>
      <c r="EA6" s="268"/>
      <c r="EB6" s="268"/>
      <c r="EC6" s="268"/>
      <c r="ED6" s="268"/>
      <c r="EE6" s="268"/>
      <c r="EF6" s="268"/>
      <c r="EG6" s="268"/>
      <c r="EH6" s="268"/>
    </row>
    <row r="7" spans="1:138">
      <c r="A7" s="474"/>
      <c r="B7" s="609"/>
      <c r="C7" s="508" t="s">
        <v>236</v>
      </c>
      <c r="D7" s="275" t="s">
        <v>234</v>
      </c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277"/>
      <c r="AX7" s="277"/>
      <c r="AY7" s="277"/>
      <c r="AZ7" s="277"/>
      <c r="BA7" s="277"/>
      <c r="BB7" s="277"/>
      <c r="BC7" s="277"/>
      <c r="BD7" s="277"/>
      <c r="BE7" s="277"/>
      <c r="BF7" s="277"/>
      <c r="BG7" s="277"/>
      <c r="BH7" s="277"/>
      <c r="BI7" s="277"/>
      <c r="BJ7" s="277"/>
      <c r="BK7" s="277"/>
      <c r="BL7" s="277"/>
      <c r="BM7" s="277"/>
      <c r="BN7" s="277"/>
      <c r="BO7" s="277"/>
      <c r="BP7" s="277"/>
      <c r="BQ7" s="277"/>
      <c r="BR7" s="277"/>
      <c r="BS7" s="277"/>
      <c r="BT7" s="277"/>
      <c r="BU7" s="277"/>
      <c r="BV7" s="277"/>
      <c r="BW7" s="277"/>
      <c r="BX7" s="274"/>
      <c r="BY7" s="279">
        <f t="shared" si="0"/>
        <v>0</v>
      </c>
      <c r="BZ7" s="599"/>
      <c r="CA7" s="268"/>
      <c r="CB7" s="279">
        <f t="shared" si="1"/>
        <v>0</v>
      </c>
      <c r="CC7" s="599"/>
      <c r="CD7" s="268"/>
      <c r="CE7" s="268"/>
      <c r="CF7" s="268"/>
      <c r="CG7" s="268"/>
      <c r="CH7" s="268"/>
      <c r="CI7" s="268"/>
      <c r="CJ7" s="268"/>
      <c r="CK7" s="268"/>
      <c r="CL7" s="268"/>
      <c r="CM7" s="268"/>
      <c r="CN7" s="268"/>
      <c r="CO7" s="268"/>
      <c r="CP7" s="268"/>
      <c r="CQ7" s="268"/>
      <c r="CR7" s="268"/>
      <c r="CS7" s="268"/>
      <c r="CT7" s="268"/>
      <c r="CU7" s="268"/>
      <c r="CV7" s="268"/>
      <c r="CW7" s="268"/>
      <c r="CX7" s="268"/>
      <c r="CY7" s="268"/>
      <c r="CZ7" s="268"/>
      <c r="DA7" s="268"/>
      <c r="DB7" s="268"/>
      <c r="DC7" s="268"/>
      <c r="DD7" s="268"/>
      <c r="DE7" s="268"/>
      <c r="DF7" s="268"/>
      <c r="DG7" s="268"/>
      <c r="DH7" s="268"/>
      <c r="DI7" s="268"/>
      <c r="DJ7" s="268"/>
      <c r="DK7" s="268"/>
      <c r="DL7" s="268"/>
      <c r="DM7" s="268"/>
      <c r="DN7" s="268"/>
      <c r="DO7" s="268"/>
      <c r="DP7" s="268"/>
      <c r="DQ7" s="268"/>
      <c r="DR7" s="268"/>
      <c r="DS7" s="268"/>
      <c r="DT7" s="268"/>
      <c r="DU7" s="268"/>
      <c r="DV7" s="268"/>
      <c r="DW7" s="268"/>
      <c r="DX7" s="268"/>
      <c r="DY7" s="268"/>
      <c r="DZ7" s="268"/>
      <c r="EA7" s="268"/>
      <c r="EB7" s="268"/>
      <c r="EC7" s="268"/>
      <c r="ED7" s="268"/>
      <c r="EE7" s="268"/>
      <c r="EF7" s="268"/>
      <c r="EG7" s="268"/>
      <c r="EH7" s="268"/>
    </row>
    <row r="8" spans="1:138">
      <c r="A8" s="474"/>
      <c r="B8" s="610"/>
      <c r="C8" s="508" t="s">
        <v>237</v>
      </c>
      <c r="D8" s="509" t="s">
        <v>234</v>
      </c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508"/>
      <c r="BY8" s="510">
        <f t="shared" si="0"/>
        <v>0</v>
      </c>
      <c r="BZ8" s="598"/>
      <c r="CA8" s="268"/>
      <c r="CB8" s="510">
        <f t="shared" si="1"/>
        <v>0</v>
      </c>
      <c r="CC8" s="598"/>
      <c r="CD8" s="268"/>
      <c r="CE8" s="268"/>
      <c r="CF8" s="268"/>
      <c r="CG8" s="268"/>
      <c r="CH8" s="268"/>
      <c r="CI8" s="268"/>
      <c r="CJ8" s="268"/>
      <c r="CK8" s="268"/>
      <c r="CL8" s="268"/>
      <c r="CM8" s="268"/>
      <c r="CN8" s="268"/>
      <c r="CO8" s="268"/>
      <c r="CP8" s="268"/>
      <c r="CQ8" s="268"/>
      <c r="CR8" s="268"/>
      <c r="CS8" s="268"/>
      <c r="CT8" s="268"/>
      <c r="CU8" s="268"/>
      <c r="CV8" s="268"/>
      <c r="CW8" s="268"/>
      <c r="CX8" s="268"/>
      <c r="CY8" s="268"/>
      <c r="CZ8" s="268"/>
      <c r="DA8" s="268"/>
      <c r="DB8" s="268"/>
      <c r="DC8" s="268"/>
      <c r="DD8" s="268"/>
      <c r="DE8" s="268"/>
      <c r="DF8" s="268"/>
      <c r="DG8" s="268"/>
      <c r="DH8" s="268"/>
      <c r="DI8" s="268"/>
      <c r="DJ8" s="268"/>
      <c r="DK8" s="268"/>
      <c r="DL8" s="268"/>
      <c r="DM8" s="268"/>
      <c r="DN8" s="268"/>
      <c r="DO8" s="268"/>
      <c r="DP8" s="268"/>
      <c r="DQ8" s="268"/>
      <c r="DR8" s="268"/>
      <c r="DS8" s="268"/>
      <c r="DT8" s="268"/>
      <c r="DU8" s="268"/>
      <c r="DV8" s="268"/>
      <c r="DW8" s="268"/>
      <c r="DX8" s="268"/>
      <c r="DY8" s="268"/>
      <c r="DZ8" s="268"/>
      <c r="EA8" s="268"/>
      <c r="EB8" s="268"/>
      <c r="EC8" s="268"/>
      <c r="ED8" s="268"/>
      <c r="EE8" s="268"/>
      <c r="EF8" s="268"/>
      <c r="EG8" s="268"/>
      <c r="EH8" s="268"/>
    </row>
    <row r="9" spans="1:138">
      <c r="A9" s="474"/>
      <c r="B9" s="575" t="s">
        <v>238</v>
      </c>
      <c r="C9" s="278" t="s">
        <v>239</v>
      </c>
      <c r="D9" s="275" t="s">
        <v>234</v>
      </c>
      <c r="E9" s="276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  <c r="AR9" s="276"/>
      <c r="AS9" s="276"/>
      <c r="AT9" s="276"/>
      <c r="AU9" s="276"/>
      <c r="AV9" s="276"/>
      <c r="AW9" s="276"/>
      <c r="AX9" s="276"/>
      <c r="AY9" s="276"/>
      <c r="AZ9" s="276"/>
      <c r="BA9" s="276"/>
      <c r="BB9" s="276"/>
      <c r="BC9" s="276"/>
      <c r="BD9" s="276"/>
      <c r="BE9" s="276"/>
      <c r="BF9" s="276"/>
      <c r="BG9" s="276"/>
      <c r="BH9" s="276"/>
      <c r="BI9" s="276"/>
      <c r="BJ9" s="276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8"/>
      <c r="BY9" s="279">
        <f t="shared" si="0"/>
        <v>0</v>
      </c>
      <c r="BZ9" s="583">
        <f>SUM(BY9:BY11)</f>
        <v>116951666.66666667</v>
      </c>
      <c r="CA9" s="268">
        <f>BZ5+BZ9</f>
        <v>136851666.66666669</v>
      </c>
      <c r="CB9" s="279">
        <f t="shared" si="1"/>
        <v>253803333.33333337</v>
      </c>
      <c r="CC9" s="583">
        <f>SUM(CB9:CB11)</f>
        <v>487706667.52125382</v>
      </c>
      <c r="CD9" s="268"/>
      <c r="CE9" s="268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</row>
    <row r="10" spans="1:138">
      <c r="A10" s="474"/>
      <c r="B10" s="609"/>
      <c r="C10" s="278" t="s">
        <v>240</v>
      </c>
      <c r="D10" s="275" t="s">
        <v>234</v>
      </c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>
        <f t="shared" ref="U10:AB10" si="2">-U61</f>
        <v>72916.666666666672</v>
      </c>
      <c r="V10" s="277">
        <f t="shared" si="2"/>
        <v>157500.00000000003</v>
      </c>
      <c r="W10" s="277">
        <f t="shared" si="2"/>
        <v>242083.33333333337</v>
      </c>
      <c r="X10" s="277">
        <f t="shared" si="2"/>
        <v>326666.66666666669</v>
      </c>
      <c r="Y10" s="277">
        <f t="shared" si="2"/>
        <v>411250.00000000006</v>
      </c>
      <c r="Z10" s="277">
        <f t="shared" si="2"/>
        <v>495833.33333333343</v>
      </c>
      <c r="AA10" s="277">
        <f t="shared" si="2"/>
        <v>580416.66666666674</v>
      </c>
      <c r="AB10" s="277">
        <f t="shared" si="2"/>
        <v>665000.00000000012</v>
      </c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4"/>
      <c r="BY10" s="279">
        <f t="shared" si="0"/>
        <v>2951666.666666667</v>
      </c>
      <c r="BZ10" s="599"/>
      <c r="CA10" s="268"/>
      <c r="CB10" s="279">
        <f t="shared" si="1"/>
        <v>5903333.333333334</v>
      </c>
      <c r="CC10" s="599"/>
      <c r="CD10" s="268"/>
      <c r="CE10" s="268"/>
      <c r="CF10" s="268"/>
      <c r="CG10" s="268"/>
      <c r="CH10" s="268"/>
      <c r="CI10" s="268"/>
      <c r="CJ10" s="268"/>
      <c r="CK10" s="268"/>
      <c r="CL10" s="268"/>
      <c r="CM10" s="268"/>
      <c r="CN10" s="268"/>
      <c r="CO10" s="268"/>
      <c r="CP10" s="268"/>
      <c r="CQ10" s="268"/>
      <c r="CR10" s="268"/>
      <c r="CS10" s="268"/>
      <c r="CT10" s="268"/>
      <c r="CU10" s="268"/>
      <c r="CV10" s="268"/>
      <c r="CW10" s="268"/>
      <c r="CX10" s="268"/>
      <c r="CY10" s="268"/>
      <c r="CZ10" s="268"/>
      <c r="DA10" s="268"/>
      <c r="DB10" s="268"/>
      <c r="DC10" s="268"/>
      <c r="DD10" s="268"/>
      <c r="DE10" s="268"/>
      <c r="DF10" s="268"/>
      <c r="DG10" s="268"/>
      <c r="DH10" s="268"/>
      <c r="DI10" s="268"/>
      <c r="DJ10" s="268"/>
      <c r="DK10" s="268"/>
      <c r="DL10" s="268"/>
      <c r="DM10" s="268"/>
      <c r="DN10" s="268"/>
      <c r="DO10" s="268"/>
      <c r="DP10" s="268"/>
      <c r="DQ10" s="268"/>
      <c r="DR10" s="268"/>
      <c r="DS10" s="268"/>
      <c r="DT10" s="268"/>
      <c r="DU10" s="268"/>
      <c r="DV10" s="268"/>
      <c r="DW10" s="268"/>
      <c r="DX10" s="268"/>
      <c r="DY10" s="268"/>
      <c r="DZ10" s="268"/>
      <c r="EA10" s="268"/>
      <c r="EB10" s="268"/>
      <c r="EC10" s="268"/>
      <c r="ED10" s="268"/>
      <c r="EE10" s="268"/>
      <c r="EF10" s="268"/>
      <c r="EG10" s="268"/>
      <c r="EH10" s="268"/>
    </row>
    <row r="11" spans="1:138">
      <c r="A11" s="474"/>
      <c r="B11" s="608"/>
      <c r="C11" s="508" t="s">
        <v>241</v>
      </c>
      <c r="D11" s="509" t="s">
        <v>234</v>
      </c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>
        <v>12500000</v>
      </c>
      <c r="V11" s="280">
        <f t="shared" ref="V11:AB11" si="3">14500000</f>
        <v>14500000</v>
      </c>
      <c r="W11" s="280">
        <f t="shared" si="3"/>
        <v>14500000</v>
      </c>
      <c r="X11" s="280">
        <f t="shared" si="3"/>
        <v>14500000</v>
      </c>
      <c r="Y11" s="280">
        <f t="shared" si="3"/>
        <v>14500000</v>
      </c>
      <c r="Z11" s="280">
        <f t="shared" si="3"/>
        <v>14500000</v>
      </c>
      <c r="AA11" s="280">
        <f t="shared" si="3"/>
        <v>14500000</v>
      </c>
      <c r="AB11" s="280">
        <f t="shared" si="3"/>
        <v>14500000</v>
      </c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2"/>
      <c r="AP11" s="280"/>
      <c r="AQ11" s="280"/>
      <c r="AR11" s="280"/>
      <c r="AS11" s="280"/>
      <c r="AT11" s="280"/>
      <c r="AU11" s="280"/>
      <c r="AV11" s="280"/>
      <c r="AW11" s="280"/>
      <c r="AX11" s="280"/>
      <c r="AY11" s="280"/>
      <c r="AZ11" s="280"/>
      <c r="BA11" s="280"/>
      <c r="BB11" s="280"/>
      <c r="BC11" s="280"/>
      <c r="BD11" s="280"/>
      <c r="BE11" s="280"/>
      <c r="BF11" s="280"/>
      <c r="BG11" s="280"/>
      <c r="BH11" s="280"/>
      <c r="BI11" s="280"/>
      <c r="BJ11" s="280"/>
      <c r="BK11" s="280"/>
      <c r="BL11" s="280"/>
      <c r="BM11" s="280"/>
      <c r="BN11" s="280"/>
      <c r="BO11" s="280"/>
      <c r="BP11" s="280"/>
      <c r="BQ11" s="280"/>
      <c r="BR11" s="280"/>
      <c r="BS11" s="280"/>
      <c r="BT11" s="280"/>
      <c r="BU11" s="280"/>
      <c r="BV11" s="280"/>
      <c r="BW11" s="280"/>
      <c r="BX11" s="508"/>
      <c r="BY11" s="510">
        <f t="shared" si="0"/>
        <v>114000000</v>
      </c>
      <c r="BZ11" s="611"/>
      <c r="CA11" s="283">
        <f>BZ9/CA9</f>
        <v>0.85458708333840772</v>
      </c>
      <c r="CB11" s="510">
        <f t="shared" si="1"/>
        <v>228000000.85458708</v>
      </c>
      <c r="CC11" s="611"/>
      <c r="CD11" s="283"/>
      <c r="CE11" s="283"/>
      <c r="CF11" s="283"/>
      <c r="CG11" s="283"/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3"/>
      <c r="CS11" s="283"/>
      <c r="CT11" s="283"/>
      <c r="CU11" s="283"/>
      <c r="CV11" s="283"/>
      <c r="CW11" s="283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3"/>
      <c r="DJ11" s="283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3"/>
      <c r="DV11" s="283"/>
      <c r="DW11" s="283"/>
      <c r="DX11" s="283"/>
      <c r="DY11" s="283"/>
      <c r="DZ11" s="283"/>
      <c r="EA11" s="283"/>
      <c r="EB11" s="283"/>
      <c r="EC11" s="283"/>
      <c r="ED11" s="283"/>
      <c r="EE11" s="283"/>
      <c r="EF11" s="283"/>
      <c r="EG11" s="283"/>
      <c r="EH11" s="283"/>
    </row>
    <row r="12" spans="1:138">
      <c r="A12" s="474"/>
      <c r="B12" s="575" t="s">
        <v>242</v>
      </c>
      <c r="C12" s="274" t="s">
        <v>243</v>
      </c>
      <c r="D12" s="275" t="s">
        <v>234</v>
      </c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6"/>
      <c r="AR12" s="276"/>
      <c r="AS12" s="276"/>
      <c r="AT12" s="276"/>
      <c r="AU12" s="276"/>
      <c r="AV12" s="276"/>
      <c r="AW12" s="276"/>
      <c r="AX12" s="276"/>
      <c r="AY12" s="276"/>
      <c r="AZ12" s="276"/>
      <c r="BA12" s="276"/>
      <c r="BB12" s="276"/>
      <c r="BC12" s="276"/>
      <c r="BD12" s="276"/>
      <c r="BE12" s="276"/>
      <c r="BF12" s="276"/>
      <c r="BG12" s="276"/>
      <c r="BH12" s="276"/>
      <c r="BI12" s="276"/>
      <c r="BJ12" s="276"/>
      <c r="BK12" s="276"/>
      <c r="BL12" s="276"/>
      <c r="BM12" s="276"/>
      <c r="BN12" s="276"/>
      <c r="BO12" s="276"/>
      <c r="BP12" s="276"/>
      <c r="BQ12" s="276"/>
      <c r="BR12" s="276"/>
      <c r="BS12" s="276"/>
      <c r="BT12" s="276"/>
      <c r="BU12" s="276"/>
      <c r="BV12" s="276"/>
      <c r="BW12" s="276"/>
      <c r="BX12" s="278"/>
      <c r="BY12" s="279">
        <f t="shared" si="0"/>
        <v>0</v>
      </c>
      <c r="BZ12" s="583" t="e">
        <f>SUM(BY12:BY16)</f>
        <v>#REF!</v>
      </c>
      <c r="CA12" s="268"/>
      <c r="CB12" s="279" t="e">
        <f t="shared" si="1"/>
        <v>#REF!</v>
      </c>
      <c r="CC12" s="583" t="e">
        <f>SUM(CB12:CB16)</f>
        <v>#REF!</v>
      </c>
      <c r="CD12" s="268"/>
      <c r="CE12" s="268"/>
      <c r="CF12" s="268"/>
      <c r="CG12" s="268"/>
      <c r="CH12" s="268"/>
      <c r="CI12" s="268"/>
      <c r="CJ12" s="268"/>
      <c r="CK12" s="268"/>
      <c r="CL12" s="268"/>
      <c r="CM12" s="268"/>
      <c r="CN12" s="268"/>
      <c r="CO12" s="268"/>
      <c r="CP12" s="268"/>
      <c r="CQ12" s="268"/>
      <c r="CR12" s="268"/>
      <c r="CS12" s="268"/>
      <c r="CT12" s="268"/>
      <c r="CU12" s="268"/>
      <c r="CV12" s="268"/>
      <c r="CW12" s="268"/>
      <c r="CX12" s="268"/>
      <c r="CY12" s="268"/>
      <c r="CZ12" s="268"/>
      <c r="DA12" s="268"/>
      <c r="DB12" s="268"/>
      <c r="DC12" s="268"/>
      <c r="DD12" s="268"/>
      <c r="DE12" s="268"/>
      <c r="DF12" s="268"/>
      <c r="DG12" s="268"/>
      <c r="DH12" s="268"/>
      <c r="DI12" s="268"/>
      <c r="DJ12" s="268"/>
      <c r="DK12" s="268"/>
      <c r="DL12" s="268"/>
      <c r="DM12" s="268"/>
      <c r="DN12" s="268"/>
      <c r="DO12" s="268"/>
      <c r="DP12" s="268"/>
      <c r="DQ12" s="268"/>
      <c r="DR12" s="268"/>
      <c r="DS12" s="268"/>
      <c r="DT12" s="268"/>
      <c r="DU12" s="268"/>
      <c r="DV12" s="268"/>
      <c r="DW12" s="268"/>
      <c r="DX12" s="268"/>
      <c r="DY12" s="268"/>
      <c r="DZ12" s="268"/>
      <c r="EA12" s="268"/>
      <c r="EB12" s="268"/>
      <c r="EC12" s="268"/>
      <c r="ED12" s="268"/>
      <c r="EE12" s="268"/>
      <c r="EF12" s="268"/>
      <c r="EG12" s="268"/>
      <c r="EH12" s="268"/>
    </row>
    <row r="13" spans="1:138">
      <c r="A13" s="474"/>
      <c r="B13" s="609"/>
      <c r="C13" s="274" t="s">
        <v>244</v>
      </c>
      <c r="D13" s="275" t="s">
        <v>234</v>
      </c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>
        <f>Businessplan_prodej!$J$32</f>
        <v>202550557.14285713</v>
      </c>
      <c r="AF13" s="276"/>
      <c r="AG13" s="276"/>
      <c r="AH13" s="276"/>
      <c r="AI13" s="276"/>
      <c r="AJ13" s="276"/>
      <c r="AK13" s="276"/>
      <c r="AL13" s="276"/>
      <c r="AM13" s="276"/>
      <c r="AN13" s="276"/>
      <c r="AO13" s="276"/>
      <c r="AP13" s="276"/>
      <c r="AQ13" s="276"/>
      <c r="AR13" s="276"/>
      <c r="AS13" s="276"/>
      <c r="AT13" s="276"/>
      <c r="AU13" s="276"/>
      <c r="AV13" s="276"/>
      <c r="AW13" s="276"/>
      <c r="AX13" s="276"/>
      <c r="AY13" s="276"/>
      <c r="AZ13" s="276"/>
      <c r="BA13" s="276"/>
      <c r="BB13" s="276"/>
      <c r="BC13" s="276"/>
      <c r="BD13" s="276"/>
      <c r="BE13" s="276"/>
      <c r="BF13" s="276"/>
      <c r="BG13" s="276"/>
      <c r="BH13" s="276"/>
      <c r="BI13" s="276"/>
      <c r="BJ13" s="276"/>
      <c r="BK13" s="276"/>
      <c r="BL13" s="276"/>
      <c r="BM13" s="276"/>
      <c r="BN13" s="276"/>
      <c r="BO13" s="276"/>
      <c r="BP13" s="276"/>
      <c r="BQ13" s="276"/>
      <c r="BR13" s="276"/>
      <c r="BS13" s="276"/>
      <c r="BT13" s="276"/>
      <c r="BU13" s="276"/>
      <c r="BV13" s="276"/>
      <c r="BW13" s="276"/>
      <c r="BX13" s="278"/>
      <c r="BY13" s="279">
        <f t="shared" si="0"/>
        <v>202550557.14285713</v>
      </c>
      <c r="BZ13" s="599"/>
      <c r="CA13" s="268"/>
      <c r="CB13" s="279">
        <f t="shared" si="1"/>
        <v>405101114.28571427</v>
      </c>
      <c r="CC13" s="599"/>
      <c r="CD13" s="268"/>
      <c r="CE13" s="268"/>
      <c r="CF13" s="268"/>
      <c r="CG13" s="268"/>
      <c r="CH13" s="268"/>
      <c r="CI13" s="268"/>
      <c r="CJ13" s="268"/>
      <c r="CK13" s="268"/>
      <c r="CL13" s="268"/>
      <c r="CM13" s="268"/>
      <c r="CN13" s="268"/>
      <c r="CO13" s="268"/>
      <c r="CP13" s="268"/>
      <c r="CQ13" s="268"/>
      <c r="CR13" s="268"/>
      <c r="CS13" s="268"/>
      <c r="CT13" s="268"/>
      <c r="CU13" s="268"/>
      <c r="CV13" s="268"/>
      <c r="CW13" s="268"/>
      <c r="CX13" s="268"/>
      <c r="CY13" s="268"/>
      <c r="CZ13" s="268"/>
      <c r="DA13" s="268"/>
      <c r="DB13" s="268"/>
      <c r="DC13" s="268"/>
      <c r="DD13" s="268"/>
      <c r="DE13" s="268"/>
      <c r="DF13" s="268"/>
      <c r="DG13" s="268"/>
      <c r="DH13" s="268"/>
      <c r="DI13" s="268"/>
      <c r="DJ13" s="268"/>
      <c r="DK13" s="268"/>
      <c r="DL13" s="268"/>
      <c r="DM13" s="268"/>
      <c r="DN13" s="268"/>
      <c r="DO13" s="268"/>
      <c r="DP13" s="268"/>
      <c r="DQ13" s="268"/>
      <c r="DR13" s="268"/>
      <c r="DS13" s="268"/>
      <c r="DT13" s="268"/>
      <c r="DU13" s="268"/>
      <c r="DV13" s="268"/>
      <c r="DW13" s="268"/>
      <c r="DX13" s="268"/>
      <c r="DY13" s="268"/>
      <c r="DZ13" s="268"/>
      <c r="EA13" s="268"/>
      <c r="EB13" s="268"/>
      <c r="EC13" s="268"/>
      <c r="ED13" s="268"/>
      <c r="EE13" s="268"/>
      <c r="EF13" s="268"/>
      <c r="EG13" s="268"/>
      <c r="EH13" s="268"/>
    </row>
    <row r="14" spans="1:138">
      <c r="A14" s="474"/>
      <c r="B14" s="609"/>
      <c r="C14" s="274" t="s">
        <v>7</v>
      </c>
      <c r="D14" s="275" t="s">
        <v>234</v>
      </c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 t="e">
        <f t="shared" ref="U14:AD14" si="4">-S15</f>
        <v>#REF!</v>
      </c>
      <c r="V14" s="277" t="e">
        <f t="shared" si="4"/>
        <v>#REF!</v>
      </c>
      <c r="W14" s="277" t="e">
        <f t="shared" si="4"/>
        <v>#REF!</v>
      </c>
      <c r="X14" s="277" t="e">
        <f t="shared" si="4"/>
        <v>#REF!</v>
      </c>
      <c r="Y14" s="277" t="e">
        <f t="shared" si="4"/>
        <v>#REF!</v>
      </c>
      <c r="Z14" s="277" t="e">
        <f t="shared" si="4"/>
        <v>#REF!</v>
      </c>
      <c r="AA14" s="277" t="e">
        <f t="shared" si="4"/>
        <v>#REF!</v>
      </c>
      <c r="AB14" s="277" t="e">
        <f t="shared" si="4"/>
        <v>#REF!</v>
      </c>
      <c r="AC14" s="277" t="e">
        <f t="shared" si="4"/>
        <v>#REF!</v>
      </c>
      <c r="AD14" s="277" t="e">
        <f t="shared" si="4"/>
        <v>#REF!</v>
      </c>
      <c r="AE14" s="277">
        <f>-AC15-AD15-AE15</f>
        <v>29435.128517454548</v>
      </c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7"/>
      <c r="AQ14" s="277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4"/>
      <c r="BY14" s="279" t="e">
        <f t="shared" si="0"/>
        <v>#REF!</v>
      </c>
      <c r="BZ14" s="599"/>
      <c r="CA14" s="268"/>
      <c r="CB14" s="279" t="e">
        <f t="shared" si="1"/>
        <v>#REF!</v>
      </c>
      <c r="CC14" s="599"/>
      <c r="CD14" s="268"/>
      <c r="CE14" s="268"/>
      <c r="CF14" s="268"/>
      <c r="CG14" s="268"/>
      <c r="CH14" s="268"/>
      <c r="CI14" s="268"/>
      <c r="CJ14" s="268"/>
      <c r="CK14" s="268"/>
      <c r="CL14" s="268"/>
      <c r="CM14" s="268"/>
      <c r="CN14" s="268"/>
      <c r="CO14" s="268"/>
      <c r="CP14" s="268"/>
      <c r="CQ14" s="268"/>
      <c r="CR14" s="268"/>
      <c r="CS14" s="268"/>
      <c r="CT14" s="268"/>
      <c r="CU14" s="268"/>
      <c r="CV14" s="268"/>
      <c r="CW14" s="268"/>
      <c r="CX14" s="268"/>
      <c r="CY14" s="268"/>
      <c r="CZ14" s="268"/>
      <c r="DA14" s="268"/>
      <c r="DB14" s="268"/>
      <c r="DC14" s="268"/>
      <c r="DD14" s="268"/>
      <c r="DE14" s="268"/>
      <c r="DF14" s="268"/>
      <c r="DG14" s="268"/>
      <c r="DH14" s="268"/>
      <c r="DI14" s="268"/>
      <c r="DJ14" s="268"/>
      <c r="DK14" s="268"/>
      <c r="DL14" s="268"/>
      <c r="DM14" s="268"/>
      <c r="DN14" s="268"/>
      <c r="DO14" s="268"/>
      <c r="DP14" s="268"/>
      <c r="DQ14" s="268"/>
      <c r="DR14" s="268"/>
      <c r="DS14" s="268"/>
      <c r="DT14" s="268"/>
      <c r="DU14" s="268"/>
      <c r="DV14" s="268"/>
      <c r="DW14" s="268"/>
      <c r="DX14" s="268"/>
      <c r="DY14" s="268"/>
      <c r="DZ14" s="268"/>
      <c r="EA14" s="268"/>
      <c r="EB14" s="268"/>
      <c r="EC14" s="268"/>
      <c r="ED14" s="268"/>
      <c r="EE14" s="268"/>
      <c r="EF14" s="268"/>
      <c r="EG14" s="268"/>
      <c r="EH14" s="268"/>
    </row>
    <row r="15" spans="1:138">
      <c r="A15" s="474"/>
      <c r="B15" s="609"/>
      <c r="C15" s="274" t="s">
        <v>7</v>
      </c>
      <c r="D15" s="275" t="s">
        <v>245</v>
      </c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 t="e">
        <f t="shared" ref="S15:AE15" si="5">SUM(S32,S38)*1.21-SUM(S32,S38)</f>
        <v>#REF!</v>
      </c>
      <c r="T15" s="277" t="e">
        <f t="shared" si="5"/>
        <v>#REF!</v>
      </c>
      <c r="U15" s="277" t="e">
        <f t="shared" si="5"/>
        <v>#REF!</v>
      </c>
      <c r="V15" s="277" t="e">
        <f t="shared" si="5"/>
        <v>#REF!</v>
      </c>
      <c r="W15" s="277" t="e">
        <f t="shared" si="5"/>
        <v>#REF!</v>
      </c>
      <c r="X15" s="277" t="e">
        <f t="shared" si="5"/>
        <v>#REF!</v>
      </c>
      <c r="Y15" s="277" t="e">
        <f t="shared" si="5"/>
        <v>#REF!</v>
      </c>
      <c r="Z15" s="277" t="e">
        <f t="shared" si="5"/>
        <v>#REF!</v>
      </c>
      <c r="AA15" s="277" t="e">
        <f t="shared" si="5"/>
        <v>#REF!</v>
      </c>
      <c r="AB15" s="277" t="e">
        <f t="shared" si="5"/>
        <v>#REF!</v>
      </c>
      <c r="AC15" s="277">
        <f t="shared" si="5"/>
        <v>-29435.128517454548</v>
      </c>
      <c r="AD15" s="277">
        <f t="shared" si="5"/>
        <v>0</v>
      </c>
      <c r="AE15" s="277">
        <f t="shared" si="5"/>
        <v>0</v>
      </c>
      <c r="AF15" s="277"/>
      <c r="AG15" s="277"/>
      <c r="AH15" s="277"/>
      <c r="AI15" s="277"/>
      <c r="AJ15" s="277"/>
      <c r="AK15" s="277"/>
      <c r="AL15" s="277"/>
      <c r="AM15" s="277"/>
      <c r="AN15" s="277"/>
      <c r="AO15" s="277"/>
      <c r="AP15" s="277"/>
      <c r="AQ15" s="277"/>
      <c r="AR15" s="277"/>
      <c r="AS15" s="277"/>
      <c r="AT15" s="277"/>
      <c r="AU15" s="277"/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77"/>
      <c r="BG15" s="277"/>
      <c r="BH15" s="277"/>
      <c r="BI15" s="277"/>
      <c r="BJ15" s="277"/>
      <c r="BK15" s="277"/>
      <c r="BL15" s="277"/>
      <c r="BM15" s="277"/>
      <c r="BN15" s="277"/>
      <c r="BO15" s="277"/>
      <c r="BP15" s="277"/>
      <c r="BQ15" s="277"/>
      <c r="BR15" s="277"/>
      <c r="BS15" s="277"/>
      <c r="BT15" s="277"/>
      <c r="BU15" s="277"/>
      <c r="BV15" s="277"/>
      <c r="BW15" s="277"/>
      <c r="BX15" s="274"/>
      <c r="BY15" s="279" t="e">
        <f t="shared" si="0"/>
        <v>#REF!</v>
      </c>
      <c r="BZ15" s="599"/>
      <c r="CA15" s="268"/>
      <c r="CB15" s="286"/>
      <c r="CC15" s="599"/>
      <c r="CD15" s="268"/>
      <c r="CE15" s="268"/>
      <c r="CF15" s="268"/>
      <c r="CG15" s="268"/>
      <c r="CH15" s="268"/>
      <c r="CI15" s="268"/>
      <c r="CJ15" s="268"/>
      <c r="CK15" s="268"/>
      <c r="CL15" s="268"/>
      <c r="CM15" s="268"/>
      <c r="CN15" s="268"/>
      <c r="CO15" s="268"/>
      <c r="CP15" s="268"/>
      <c r="CQ15" s="268"/>
      <c r="CR15" s="268"/>
      <c r="CS15" s="268"/>
      <c r="CT15" s="268"/>
      <c r="CU15" s="268"/>
      <c r="CV15" s="268"/>
      <c r="CW15" s="268"/>
      <c r="CX15" s="268"/>
      <c r="CY15" s="268"/>
      <c r="CZ15" s="268"/>
      <c r="DA15" s="268"/>
      <c r="DB15" s="268"/>
      <c r="DC15" s="268"/>
      <c r="DD15" s="268"/>
      <c r="DE15" s="268"/>
      <c r="DF15" s="268"/>
      <c r="DG15" s="268"/>
      <c r="DH15" s="268"/>
      <c r="DI15" s="268"/>
      <c r="DJ15" s="268"/>
      <c r="DK15" s="268"/>
      <c r="DL15" s="268"/>
      <c r="DM15" s="268"/>
      <c r="DN15" s="268"/>
      <c r="DO15" s="268"/>
      <c r="DP15" s="268"/>
      <c r="DQ15" s="268"/>
      <c r="DR15" s="268"/>
      <c r="DS15" s="268"/>
      <c r="DT15" s="268"/>
      <c r="DU15" s="268"/>
      <c r="DV15" s="268"/>
      <c r="DW15" s="268"/>
      <c r="DX15" s="268"/>
      <c r="DY15" s="268"/>
      <c r="DZ15" s="268"/>
      <c r="EA15" s="268"/>
      <c r="EB15" s="268"/>
      <c r="EC15" s="268"/>
      <c r="ED15" s="268"/>
      <c r="EE15" s="268"/>
      <c r="EF15" s="268"/>
      <c r="EG15" s="268"/>
      <c r="EH15" s="268"/>
    </row>
    <row r="16" spans="1:138">
      <c r="A16" s="474"/>
      <c r="B16" s="608"/>
      <c r="C16" s="508" t="s">
        <v>246</v>
      </c>
      <c r="D16" s="509" t="s">
        <v>247</v>
      </c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508"/>
      <c r="BY16" s="510">
        <f t="shared" si="0"/>
        <v>0</v>
      </c>
      <c r="BZ16" s="611"/>
      <c r="CA16" s="268"/>
      <c r="CB16" s="510">
        <f>SUM(H16:CA16)</f>
        <v>0</v>
      </c>
      <c r="CC16" s="611"/>
      <c r="CD16" s="268"/>
      <c r="CE16" s="268"/>
      <c r="CF16" s="268"/>
      <c r="CG16" s="268"/>
      <c r="CH16" s="268"/>
      <c r="CI16" s="268"/>
      <c r="CJ16" s="268"/>
      <c r="CK16" s="268"/>
      <c r="CL16" s="268"/>
      <c r="CM16" s="268"/>
      <c r="CN16" s="268"/>
      <c r="CO16" s="268"/>
      <c r="CP16" s="268"/>
      <c r="CQ16" s="268"/>
      <c r="CR16" s="268"/>
      <c r="CS16" s="268"/>
      <c r="CT16" s="268"/>
      <c r="CU16" s="268"/>
      <c r="CV16" s="268"/>
      <c r="CW16" s="268"/>
      <c r="CX16" s="268"/>
      <c r="CY16" s="268"/>
      <c r="CZ16" s="268"/>
      <c r="DA16" s="268"/>
      <c r="DB16" s="268"/>
      <c r="DC16" s="268"/>
      <c r="DD16" s="268"/>
      <c r="DE16" s="268"/>
      <c r="DF16" s="268"/>
      <c r="DG16" s="268"/>
      <c r="DH16" s="268"/>
      <c r="DI16" s="268"/>
      <c r="DJ16" s="268"/>
      <c r="DK16" s="268"/>
      <c r="DL16" s="268"/>
      <c r="DM16" s="268"/>
      <c r="DN16" s="268"/>
      <c r="DO16" s="268"/>
      <c r="DP16" s="268"/>
      <c r="DQ16" s="268"/>
      <c r="DR16" s="268"/>
      <c r="DS16" s="268"/>
      <c r="DT16" s="268"/>
      <c r="DU16" s="268"/>
      <c r="DV16" s="268"/>
      <c r="DW16" s="268"/>
      <c r="DX16" s="268"/>
      <c r="DY16" s="268"/>
      <c r="DZ16" s="268"/>
      <c r="EA16" s="268"/>
      <c r="EB16" s="268"/>
      <c r="EC16" s="268"/>
      <c r="ED16" s="268"/>
      <c r="EE16" s="268"/>
      <c r="EF16" s="268"/>
      <c r="EG16" s="268"/>
      <c r="EH16" s="268"/>
    </row>
    <row r="17" spans="1:138" ht="15.95">
      <c r="A17" s="474"/>
      <c r="B17" s="576" t="s">
        <v>248</v>
      </c>
      <c r="C17" s="598"/>
      <c r="D17" s="287"/>
      <c r="E17" s="288">
        <f t="shared" ref="E17:BX17" si="6">SUM(E5:E16)</f>
        <v>0</v>
      </c>
      <c r="F17" s="288">
        <f t="shared" si="6"/>
        <v>0</v>
      </c>
      <c r="G17" s="288">
        <f t="shared" si="6"/>
        <v>0</v>
      </c>
      <c r="H17" s="288">
        <f t="shared" si="6"/>
        <v>0</v>
      </c>
      <c r="I17" s="288">
        <f t="shared" si="6"/>
        <v>0</v>
      </c>
      <c r="J17" s="288">
        <f t="shared" si="6"/>
        <v>0</v>
      </c>
      <c r="K17" s="288">
        <f t="shared" si="6"/>
        <v>0</v>
      </c>
      <c r="L17" s="288">
        <f t="shared" si="6"/>
        <v>0</v>
      </c>
      <c r="M17" s="288">
        <f t="shared" si="6"/>
        <v>0</v>
      </c>
      <c r="N17" s="288">
        <f t="shared" si="6"/>
        <v>0</v>
      </c>
      <c r="O17" s="288">
        <f t="shared" si="6"/>
        <v>0</v>
      </c>
      <c r="P17" s="288">
        <f t="shared" si="6"/>
        <v>0</v>
      </c>
      <c r="Q17" s="288">
        <f t="shared" si="6"/>
        <v>0</v>
      </c>
      <c r="R17" s="288">
        <f t="shared" si="6"/>
        <v>0</v>
      </c>
      <c r="S17" s="288" t="e">
        <f t="shared" si="6"/>
        <v>#REF!</v>
      </c>
      <c r="T17" s="288" t="e">
        <f t="shared" si="6"/>
        <v>#REF!</v>
      </c>
      <c r="U17" s="288" t="e">
        <f t="shared" si="6"/>
        <v>#REF!</v>
      </c>
      <c r="V17" s="288" t="e">
        <f t="shared" si="6"/>
        <v>#REF!</v>
      </c>
      <c r="W17" s="288" t="e">
        <f t="shared" si="6"/>
        <v>#REF!</v>
      </c>
      <c r="X17" s="288" t="e">
        <f t="shared" si="6"/>
        <v>#REF!</v>
      </c>
      <c r="Y17" s="288" t="e">
        <f t="shared" si="6"/>
        <v>#REF!</v>
      </c>
      <c r="Z17" s="288" t="e">
        <f t="shared" si="6"/>
        <v>#REF!</v>
      </c>
      <c r="AA17" s="288" t="e">
        <f t="shared" si="6"/>
        <v>#REF!</v>
      </c>
      <c r="AB17" s="288" t="e">
        <f t="shared" si="6"/>
        <v>#REF!</v>
      </c>
      <c r="AC17" s="288" t="e">
        <f t="shared" si="6"/>
        <v>#REF!</v>
      </c>
      <c r="AD17" s="288" t="e">
        <f t="shared" si="6"/>
        <v>#REF!</v>
      </c>
      <c r="AE17" s="288">
        <f t="shared" si="6"/>
        <v>202579992.27137458</v>
      </c>
      <c r="AF17" s="288">
        <f t="shared" si="6"/>
        <v>0</v>
      </c>
      <c r="AG17" s="288">
        <f t="shared" si="6"/>
        <v>0</v>
      </c>
      <c r="AH17" s="288">
        <f t="shared" si="6"/>
        <v>0</v>
      </c>
      <c r="AI17" s="288">
        <f t="shared" si="6"/>
        <v>0</v>
      </c>
      <c r="AJ17" s="288">
        <f t="shared" si="6"/>
        <v>0</v>
      </c>
      <c r="AK17" s="288">
        <f t="shared" si="6"/>
        <v>0</v>
      </c>
      <c r="AL17" s="288">
        <f t="shared" si="6"/>
        <v>0</v>
      </c>
      <c r="AM17" s="288">
        <f t="shared" si="6"/>
        <v>0</v>
      </c>
      <c r="AN17" s="288">
        <f t="shared" si="6"/>
        <v>0</v>
      </c>
      <c r="AO17" s="288">
        <f t="shared" si="6"/>
        <v>0</v>
      </c>
      <c r="AP17" s="288">
        <f t="shared" si="6"/>
        <v>0</v>
      </c>
      <c r="AQ17" s="288">
        <f t="shared" si="6"/>
        <v>0</v>
      </c>
      <c r="AR17" s="288">
        <f t="shared" si="6"/>
        <v>0</v>
      </c>
      <c r="AS17" s="288">
        <f t="shared" si="6"/>
        <v>0</v>
      </c>
      <c r="AT17" s="288">
        <f t="shared" si="6"/>
        <v>0</v>
      </c>
      <c r="AU17" s="288">
        <f t="shared" si="6"/>
        <v>0</v>
      </c>
      <c r="AV17" s="288">
        <f t="shared" si="6"/>
        <v>0</v>
      </c>
      <c r="AW17" s="288">
        <f t="shared" si="6"/>
        <v>0</v>
      </c>
      <c r="AX17" s="288">
        <f t="shared" si="6"/>
        <v>0</v>
      </c>
      <c r="AY17" s="288">
        <f t="shared" si="6"/>
        <v>0</v>
      </c>
      <c r="AZ17" s="288">
        <f t="shared" si="6"/>
        <v>0</v>
      </c>
      <c r="BA17" s="288">
        <f t="shared" si="6"/>
        <v>0</v>
      </c>
      <c r="BB17" s="288">
        <f t="shared" si="6"/>
        <v>0</v>
      </c>
      <c r="BC17" s="288">
        <f t="shared" si="6"/>
        <v>0</v>
      </c>
      <c r="BD17" s="288">
        <f t="shared" si="6"/>
        <v>0</v>
      </c>
      <c r="BE17" s="288">
        <f t="shared" si="6"/>
        <v>0</v>
      </c>
      <c r="BF17" s="288">
        <f t="shared" si="6"/>
        <v>0</v>
      </c>
      <c r="BG17" s="288">
        <f t="shared" si="6"/>
        <v>0</v>
      </c>
      <c r="BH17" s="288">
        <f t="shared" si="6"/>
        <v>0</v>
      </c>
      <c r="BI17" s="288">
        <f t="shared" si="6"/>
        <v>0</v>
      </c>
      <c r="BJ17" s="288">
        <f t="shared" si="6"/>
        <v>0</v>
      </c>
      <c r="BK17" s="288">
        <f t="shared" si="6"/>
        <v>0</v>
      </c>
      <c r="BL17" s="288">
        <f t="shared" si="6"/>
        <v>0</v>
      </c>
      <c r="BM17" s="288">
        <f t="shared" si="6"/>
        <v>0</v>
      </c>
      <c r="BN17" s="288">
        <f t="shared" si="6"/>
        <v>0</v>
      </c>
      <c r="BO17" s="288">
        <f t="shared" si="6"/>
        <v>0</v>
      </c>
      <c r="BP17" s="288">
        <f t="shared" si="6"/>
        <v>0</v>
      </c>
      <c r="BQ17" s="288">
        <f t="shared" si="6"/>
        <v>0</v>
      </c>
      <c r="BR17" s="288">
        <f t="shared" si="6"/>
        <v>0</v>
      </c>
      <c r="BS17" s="288">
        <f t="shared" si="6"/>
        <v>0</v>
      </c>
      <c r="BT17" s="288">
        <f t="shared" si="6"/>
        <v>0</v>
      </c>
      <c r="BU17" s="288">
        <f t="shared" si="6"/>
        <v>0</v>
      </c>
      <c r="BV17" s="288">
        <f t="shared" si="6"/>
        <v>0</v>
      </c>
      <c r="BW17" s="288">
        <f t="shared" si="6"/>
        <v>0</v>
      </c>
      <c r="BX17" s="288">
        <f t="shared" si="6"/>
        <v>0</v>
      </c>
      <c r="BY17" s="584" t="e">
        <f>BZ5+BZ9+BZ12</f>
        <v>#REF!</v>
      </c>
      <c r="BZ17" s="598"/>
      <c r="CA17" s="268"/>
      <c r="CB17" s="584" t="e">
        <f>CC5+CC9+CC12</f>
        <v>#REF!</v>
      </c>
      <c r="CC17" s="598"/>
      <c r="CD17" s="268"/>
      <c r="CE17" s="268"/>
      <c r="CF17" s="268"/>
      <c r="CG17" s="268"/>
      <c r="CH17" s="268"/>
      <c r="CI17" s="268"/>
      <c r="CJ17" s="268"/>
      <c r="CK17" s="268"/>
      <c r="CL17" s="268"/>
      <c r="CM17" s="268"/>
      <c r="CN17" s="268"/>
      <c r="CO17" s="268"/>
      <c r="CP17" s="268"/>
      <c r="CQ17" s="268"/>
      <c r="CR17" s="268"/>
      <c r="CS17" s="268"/>
      <c r="CT17" s="268"/>
      <c r="CU17" s="268"/>
      <c r="CV17" s="268"/>
      <c r="CW17" s="268"/>
      <c r="CX17" s="268"/>
      <c r="CY17" s="268"/>
      <c r="CZ17" s="268"/>
      <c r="DA17" s="268"/>
      <c r="DB17" s="268"/>
      <c r="DC17" s="268"/>
      <c r="DD17" s="268"/>
      <c r="DE17" s="268"/>
      <c r="DF17" s="268"/>
      <c r="DG17" s="268"/>
      <c r="DH17" s="268"/>
      <c r="DI17" s="268"/>
      <c r="DJ17" s="268"/>
      <c r="DK17" s="268"/>
      <c r="DL17" s="268"/>
      <c r="DM17" s="268"/>
      <c r="DN17" s="268"/>
      <c r="DO17" s="268"/>
      <c r="DP17" s="268"/>
      <c r="DQ17" s="268"/>
      <c r="DR17" s="268"/>
      <c r="DS17" s="268"/>
      <c r="DT17" s="268"/>
      <c r="DU17" s="268"/>
      <c r="DV17" s="268"/>
      <c r="DW17" s="268"/>
      <c r="DX17" s="268"/>
      <c r="DY17" s="268"/>
      <c r="DZ17" s="268"/>
      <c r="EA17" s="268"/>
      <c r="EB17" s="268"/>
      <c r="EC17" s="268"/>
      <c r="ED17" s="268"/>
      <c r="EE17" s="268"/>
      <c r="EF17" s="268"/>
      <c r="EG17" s="268"/>
      <c r="EH17" s="268"/>
    </row>
    <row r="18" spans="1:138" ht="15.95">
      <c r="A18" s="474"/>
      <c r="B18" s="578" t="s">
        <v>249</v>
      </c>
      <c r="C18" s="289" t="s">
        <v>250</v>
      </c>
      <c r="D18" s="290"/>
      <c r="E18" s="291">
        <f t="shared" ref="E18:BY18" si="7">SUM(E19:E23)</f>
        <v>0</v>
      </c>
      <c r="F18" s="291">
        <f t="shared" si="7"/>
        <v>0</v>
      </c>
      <c r="G18" s="291">
        <f t="shared" si="7"/>
        <v>0</v>
      </c>
      <c r="H18" s="291">
        <f t="shared" si="7"/>
        <v>0</v>
      </c>
      <c r="I18" s="291">
        <f t="shared" si="7"/>
        <v>0</v>
      </c>
      <c r="J18" s="291">
        <f t="shared" si="7"/>
        <v>0</v>
      </c>
      <c r="K18" s="291">
        <f t="shared" si="7"/>
        <v>0</v>
      </c>
      <c r="L18" s="291">
        <f t="shared" si="7"/>
        <v>0</v>
      </c>
      <c r="M18" s="291">
        <f t="shared" si="7"/>
        <v>0</v>
      </c>
      <c r="N18" s="291">
        <f t="shared" si="7"/>
        <v>0</v>
      </c>
      <c r="O18" s="291">
        <f t="shared" si="7"/>
        <v>0</v>
      </c>
      <c r="P18" s="291">
        <f t="shared" si="7"/>
        <v>0</v>
      </c>
      <c r="Q18" s="291">
        <f t="shared" si="7"/>
        <v>0</v>
      </c>
      <c r="R18" s="291">
        <f t="shared" si="7"/>
        <v>0</v>
      </c>
      <c r="S18" s="291">
        <f t="shared" si="7"/>
        <v>0</v>
      </c>
      <c r="T18" s="291">
        <f t="shared" si="7"/>
        <v>0</v>
      </c>
      <c r="U18" s="291">
        <f t="shared" si="7"/>
        <v>0</v>
      </c>
      <c r="V18" s="291">
        <f t="shared" si="7"/>
        <v>0</v>
      </c>
      <c r="W18" s="291">
        <f t="shared" si="7"/>
        <v>0</v>
      </c>
      <c r="X18" s="291">
        <f t="shared" si="7"/>
        <v>0</v>
      </c>
      <c r="Y18" s="291">
        <f t="shared" si="7"/>
        <v>0</v>
      </c>
      <c r="Z18" s="291">
        <f t="shared" si="7"/>
        <v>0</v>
      </c>
      <c r="AA18" s="291">
        <f t="shared" si="7"/>
        <v>0</v>
      </c>
      <c r="AB18" s="291">
        <f t="shared" si="7"/>
        <v>0</v>
      </c>
      <c r="AC18" s="291">
        <f t="shared" si="7"/>
        <v>0</v>
      </c>
      <c r="AD18" s="291">
        <f t="shared" si="7"/>
        <v>0</v>
      </c>
      <c r="AE18" s="291">
        <f t="shared" si="7"/>
        <v>0</v>
      </c>
      <c r="AF18" s="291">
        <f t="shared" si="7"/>
        <v>0</v>
      </c>
      <c r="AG18" s="291">
        <f t="shared" si="7"/>
        <v>0</v>
      </c>
      <c r="AH18" s="291">
        <f t="shared" si="7"/>
        <v>0</v>
      </c>
      <c r="AI18" s="291">
        <f t="shared" si="7"/>
        <v>0</v>
      </c>
      <c r="AJ18" s="291">
        <f t="shared" si="7"/>
        <v>0</v>
      </c>
      <c r="AK18" s="291">
        <f t="shared" si="7"/>
        <v>0</v>
      </c>
      <c r="AL18" s="291">
        <f t="shared" si="7"/>
        <v>0</v>
      </c>
      <c r="AM18" s="291">
        <f t="shared" si="7"/>
        <v>0</v>
      </c>
      <c r="AN18" s="291">
        <f t="shared" si="7"/>
        <v>0</v>
      </c>
      <c r="AO18" s="291">
        <f t="shared" si="7"/>
        <v>0</v>
      </c>
      <c r="AP18" s="291">
        <f t="shared" si="7"/>
        <v>0</v>
      </c>
      <c r="AQ18" s="291">
        <f t="shared" si="7"/>
        <v>0</v>
      </c>
      <c r="AR18" s="291">
        <f t="shared" si="7"/>
        <v>0</v>
      </c>
      <c r="AS18" s="291">
        <f t="shared" si="7"/>
        <v>0</v>
      </c>
      <c r="AT18" s="291">
        <f t="shared" si="7"/>
        <v>0</v>
      </c>
      <c r="AU18" s="291">
        <f t="shared" si="7"/>
        <v>0</v>
      </c>
      <c r="AV18" s="291">
        <f t="shared" si="7"/>
        <v>0</v>
      </c>
      <c r="AW18" s="291">
        <f t="shared" si="7"/>
        <v>0</v>
      </c>
      <c r="AX18" s="291">
        <f t="shared" si="7"/>
        <v>0</v>
      </c>
      <c r="AY18" s="291">
        <f t="shared" si="7"/>
        <v>0</v>
      </c>
      <c r="AZ18" s="291">
        <f t="shared" si="7"/>
        <v>0</v>
      </c>
      <c r="BA18" s="291">
        <f t="shared" si="7"/>
        <v>0</v>
      </c>
      <c r="BB18" s="291">
        <f t="shared" si="7"/>
        <v>0</v>
      </c>
      <c r="BC18" s="291">
        <f t="shared" si="7"/>
        <v>0</v>
      </c>
      <c r="BD18" s="291">
        <f t="shared" si="7"/>
        <v>0</v>
      </c>
      <c r="BE18" s="291">
        <f t="shared" si="7"/>
        <v>0</v>
      </c>
      <c r="BF18" s="291">
        <f t="shared" si="7"/>
        <v>0</v>
      </c>
      <c r="BG18" s="291">
        <f t="shared" si="7"/>
        <v>0</v>
      </c>
      <c r="BH18" s="291">
        <f t="shared" si="7"/>
        <v>0</v>
      </c>
      <c r="BI18" s="291">
        <f t="shared" si="7"/>
        <v>0</v>
      </c>
      <c r="BJ18" s="291">
        <f t="shared" si="7"/>
        <v>0</v>
      </c>
      <c r="BK18" s="291">
        <f t="shared" si="7"/>
        <v>0</v>
      </c>
      <c r="BL18" s="291">
        <f t="shared" si="7"/>
        <v>0</v>
      </c>
      <c r="BM18" s="291">
        <f t="shared" si="7"/>
        <v>0</v>
      </c>
      <c r="BN18" s="291">
        <f t="shared" si="7"/>
        <v>0</v>
      </c>
      <c r="BO18" s="291">
        <f t="shared" si="7"/>
        <v>0</v>
      </c>
      <c r="BP18" s="291">
        <f t="shared" si="7"/>
        <v>0</v>
      </c>
      <c r="BQ18" s="291">
        <f t="shared" si="7"/>
        <v>0</v>
      </c>
      <c r="BR18" s="291">
        <f t="shared" si="7"/>
        <v>0</v>
      </c>
      <c r="BS18" s="291">
        <f t="shared" si="7"/>
        <v>0</v>
      </c>
      <c r="BT18" s="291">
        <f t="shared" si="7"/>
        <v>0</v>
      </c>
      <c r="BU18" s="291">
        <f t="shared" si="7"/>
        <v>0</v>
      </c>
      <c r="BV18" s="291">
        <f t="shared" si="7"/>
        <v>0</v>
      </c>
      <c r="BW18" s="291">
        <f t="shared" si="7"/>
        <v>0</v>
      </c>
      <c r="BX18" s="291">
        <f t="shared" si="7"/>
        <v>0</v>
      </c>
      <c r="BY18" s="292">
        <f t="shared" si="7"/>
        <v>0</v>
      </c>
      <c r="BZ18" s="582" t="e">
        <f>BY18+BY24+BY27+BY35+BY38+BY48+BY54+BY62+BY86</f>
        <v>#REF!</v>
      </c>
      <c r="CA18" s="268"/>
      <c r="CB18" s="293" t="e">
        <f t="array" aca="1" ref="CB18" ca="1">SUM(INDEX(E18:BX18, , 1):INDEX(E18:BX18, ,MATCH($CB$4, $E$3:$BX$3,0) ))</f>
        <v>#N/A</v>
      </c>
      <c r="CC18" s="582" t="e">
        <f ca="1">CB18+CB24+CB27+CB35+CB38+CB48+CB54+CB62+CB86</f>
        <v>#N/A</v>
      </c>
      <c r="CD18" s="268"/>
      <c r="CE18" s="268"/>
      <c r="CF18" s="268"/>
      <c r="CG18" s="268"/>
      <c r="CH18" s="268"/>
      <c r="CI18" s="268"/>
      <c r="CJ18" s="268"/>
      <c r="CK18" s="268"/>
      <c r="CL18" s="268"/>
      <c r="CM18" s="268"/>
      <c r="CN18" s="268"/>
      <c r="CO18" s="268"/>
      <c r="CP18" s="268"/>
      <c r="CQ18" s="268"/>
      <c r="CR18" s="268"/>
      <c r="CS18" s="268"/>
      <c r="CT18" s="268"/>
      <c r="CU18" s="268"/>
      <c r="CV18" s="268"/>
      <c r="CW18" s="268"/>
      <c r="CX18" s="268"/>
      <c r="CY18" s="268"/>
      <c r="CZ18" s="268"/>
      <c r="DA18" s="268"/>
      <c r="DB18" s="268"/>
      <c r="DC18" s="268"/>
      <c r="DD18" s="268"/>
      <c r="DE18" s="268"/>
      <c r="DF18" s="268"/>
      <c r="DG18" s="268"/>
      <c r="DH18" s="268"/>
      <c r="DI18" s="268"/>
      <c r="DJ18" s="268"/>
      <c r="DK18" s="268"/>
      <c r="DL18" s="268"/>
      <c r="DM18" s="268"/>
      <c r="DN18" s="268"/>
      <c r="DO18" s="268"/>
      <c r="DP18" s="268"/>
      <c r="DQ18" s="268"/>
      <c r="DR18" s="268"/>
      <c r="DS18" s="268"/>
      <c r="DT18" s="268"/>
      <c r="DU18" s="268"/>
      <c r="DV18" s="268"/>
      <c r="DW18" s="268"/>
      <c r="DX18" s="268"/>
      <c r="DY18" s="268"/>
      <c r="DZ18" s="268"/>
      <c r="EA18" s="268"/>
      <c r="EB18" s="268"/>
      <c r="EC18" s="268"/>
      <c r="ED18" s="268"/>
      <c r="EE18" s="268"/>
      <c r="EF18" s="268"/>
      <c r="EG18" s="268"/>
      <c r="EH18" s="268"/>
    </row>
    <row r="19" spans="1:138" ht="15.95" outlineLevel="1">
      <c r="A19" s="474"/>
      <c r="B19" s="609"/>
      <c r="C19" s="294" t="s">
        <v>251</v>
      </c>
      <c r="D19" s="295" t="s">
        <v>245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  <c r="AN19" s="296"/>
      <c r="AO19" s="296"/>
      <c r="AP19" s="296"/>
      <c r="AQ19" s="296"/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6"/>
      <c r="BH19" s="296"/>
      <c r="BI19" s="296"/>
      <c r="BJ19" s="296"/>
      <c r="BK19" s="296"/>
      <c r="BL19" s="296"/>
      <c r="BM19" s="296"/>
      <c r="BN19" s="296"/>
      <c r="BO19" s="296"/>
      <c r="BP19" s="296"/>
      <c r="BQ19" s="296"/>
      <c r="BR19" s="296"/>
      <c r="BS19" s="296"/>
      <c r="BT19" s="296"/>
      <c r="BU19" s="296"/>
      <c r="BV19" s="296"/>
      <c r="BW19" s="296"/>
      <c r="BX19" s="296"/>
      <c r="BY19" s="297">
        <f t="shared" ref="BY19:BY23" si="8">SUM(E19:BX19)</f>
        <v>0</v>
      </c>
      <c r="BZ19" s="599"/>
      <c r="CA19" s="268"/>
      <c r="CB19" s="293" t="e">
        <f t="shared" ref="CB19:CB23" ca="1" si="9">SUM(INDEX(AC19:BX19, , 1):INDEX(AC19:BX19, ,MATCH($CB$4, $E$3:$BX$3,0) ))</f>
        <v>#N/A</v>
      </c>
      <c r="CC19" s="599"/>
      <c r="CD19" s="268"/>
      <c r="CE19" s="268"/>
      <c r="CF19" s="268"/>
      <c r="CG19" s="268"/>
      <c r="CH19" s="268"/>
      <c r="CI19" s="268"/>
      <c r="CJ19" s="268"/>
      <c r="CK19" s="268"/>
      <c r="CL19" s="268"/>
      <c r="CM19" s="268"/>
      <c r="CN19" s="268"/>
      <c r="CO19" s="268"/>
      <c r="CP19" s="268"/>
      <c r="CQ19" s="268"/>
      <c r="CR19" s="268"/>
      <c r="CS19" s="268"/>
      <c r="CT19" s="268"/>
      <c r="CU19" s="268"/>
      <c r="CV19" s="268"/>
      <c r="CW19" s="268"/>
      <c r="CX19" s="268"/>
      <c r="CY19" s="268"/>
      <c r="CZ19" s="268"/>
      <c r="DA19" s="268"/>
      <c r="DB19" s="268"/>
      <c r="DC19" s="268"/>
      <c r="DD19" s="268"/>
      <c r="DE19" s="268"/>
      <c r="DF19" s="268"/>
      <c r="DG19" s="268"/>
      <c r="DH19" s="268"/>
      <c r="DI19" s="268"/>
      <c r="DJ19" s="268"/>
      <c r="DK19" s="268"/>
      <c r="DL19" s="268"/>
      <c r="DM19" s="268"/>
      <c r="DN19" s="268"/>
      <c r="DO19" s="268"/>
      <c r="DP19" s="268"/>
      <c r="DQ19" s="268"/>
      <c r="DR19" s="268"/>
      <c r="DS19" s="268"/>
      <c r="DT19" s="268"/>
      <c r="DU19" s="268"/>
      <c r="DV19" s="268"/>
      <c r="DW19" s="268"/>
      <c r="DX19" s="268"/>
      <c r="DY19" s="268"/>
      <c r="DZ19" s="268"/>
      <c r="EA19" s="268"/>
      <c r="EB19" s="268"/>
      <c r="EC19" s="268"/>
      <c r="ED19" s="268"/>
      <c r="EE19" s="268"/>
      <c r="EF19" s="268"/>
      <c r="EG19" s="268"/>
      <c r="EH19" s="268"/>
    </row>
    <row r="20" spans="1:138" ht="15.95" outlineLevel="1">
      <c r="A20" s="474"/>
      <c r="B20" s="609"/>
      <c r="C20" s="294" t="s">
        <v>252</v>
      </c>
      <c r="D20" s="295" t="s">
        <v>245</v>
      </c>
      <c r="E20" s="296"/>
      <c r="F20" s="296"/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  <c r="AN20" s="296"/>
      <c r="AO20" s="296"/>
      <c r="AP20" s="296"/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6"/>
      <c r="BH20" s="296"/>
      <c r="BI20" s="296"/>
      <c r="BJ20" s="296"/>
      <c r="BK20" s="296"/>
      <c r="BL20" s="296"/>
      <c r="BM20" s="296"/>
      <c r="BN20" s="296"/>
      <c r="BO20" s="296"/>
      <c r="BP20" s="296"/>
      <c r="BQ20" s="296"/>
      <c r="BR20" s="296"/>
      <c r="BS20" s="296"/>
      <c r="BT20" s="296"/>
      <c r="BU20" s="296"/>
      <c r="BV20" s="296"/>
      <c r="BW20" s="296"/>
      <c r="BX20" s="296"/>
      <c r="BY20" s="297">
        <f t="shared" si="8"/>
        <v>0</v>
      </c>
      <c r="BZ20" s="599"/>
      <c r="CA20" s="268"/>
      <c r="CB20" s="293" t="e">
        <f t="shared" ca="1" si="9"/>
        <v>#N/A</v>
      </c>
      <c r="CC20" s="599"/>
      <c r="CD20" s="268"/>
      <c r="CE20" s="268"/>
      <c r="CF20" s="268"/>
      <c r="CG20" s="268"/>
      <c r="CH20" s="268"/>
      <c r="CI20" s="268"/>
      <c r="CJ20" s="268"/>
      <c r="CK20" s="268"/>
      <c r="CL20" s="268"/>
      <c r="CM20" s="268"/>
      <c r="CN20" s="268"/>
      <c r="CO20" s="268"/>
      <c r="CP20" s="268"/>
      <c r="CQ20" s="268"/>
      <c r="CR20" s="268"/>
      <c r="CS20" s="268"/>
      <c r="CT20" s="268"/>
      <c r="CU20" s="268"/>
      <c r="CV20" s="268"/>
      <c r="CW20" s="268"/>
      <c r="CX20" s="268"/>
      <c r="CY20" s="268"/>
      <c r="CZ20" s="268"/>
      <c r="DA20" s="268"/>
      <c r="DB20" s="268"/>
      <c r="DC20" s="268"/>
      <c r="DD20" s="268"/>
      <c r="DE20" s="268"/>
      <c r="DF20" s="268"/>
      <c r="DG20" s="268"/>
      <c r="DH20" s="268"/>
      <c r="DI20" s="268"/>
      <c r="DJ20" s="268"/>
      <c r="DK20" s="268"/>
      <c r="DL20" s="268"/>
      <c r="DM20" s="268"/>
      <c r="DN20" s="268"/>
      <c r="DO20" s="268"/>
      <c r="DP20" s="268"/>
      <c r="DQ20" s="268"/>
      <c r="DR20" s="268"/>
      <c r="DS20" s="268"/>
      <c r="DT20" s="268"/>
      <c r="DU20" s="268"/>
      <c r="DV20" s="268"/>
      <c r="DW20" s="268"/>
      <c r="DX20" s="268"/>
      <c r="DY20" s="268"/>
      <c r="DZ20" s="268"/>
      <c r="EA20" s="268"/>
      <c r="EB20" s="268"/>
      <c r="EC20" s="268"/>
      <c r="ED20" s="268"/>
      <c r="EE20" s="268"/>
      <c r="EF20" s="268"/>
      <c r="EG20" s="268"/>
      <c r="EH20" s="268"/>
    </row>
    <row r="21" spans="1:138" ht="15.95" outlineLevel="1">
      <c r="A21" s="474"/>
      <c r="B21" s="609"/>
      <c r="C21" s="294" t="s">
        <v>253</v>
      </c>
      <c r="D21" s="295" t="s">
        <v>245</v>
      </c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6"/>
      <c r="BN21" s="296"/>
      <c r="BO21" s="296"/>
      <c r="BP21" s="296"/>
      <c r="BQ21" s="296"/>
      <c r="BR21" s="296"/>
      <c r="BS21" s="296"/>
      <c r="BT21" s="296"/>
      <c r="BU21" s="296"/>
      <c r="BV21" s="296"/>
      <c r="BW21" s="296"/>
      <c r="BX21" s="296"/>
      <c r="BY21" s="297">
        <f t="shared" si="8"/>
        <v>0</v>
      </c>
      <c r="BZ21" s="599"/>
      <c r="CA21" s="268"/>
      <c r="CB21" s="293" t="e">
        <f t="shared" ca="1" si="9"/>
        <v>#N/A</v>
      </c>
      <c r="CC21" s="599"/>
      <c r="CD21" s="268"/>
      <c r="CE21" s="268"/>
      <c r="CF21" s="268"/>
      <c r="CG21" s="268"/>
      <c r="CH21" s="268"/>
      <c r="CI21" s="268"/>
      <c r="CJ21" s="268"/>
      <c r="CK21" s="268"/>
      <c r="CL21" s="268"/>
      <c r="CM21" s="268"/>
      <c r="CN21" s="268"/>
      <c r="CO21" s="268"/>
      <c r="CP21" s="268"/>
      <c r="CQ21" s="268"/>
      <c r="CR21" s="268"/>
      <c r="CS21" s="268"/>
      <c r="CT21" s="268"/>
      <c r="CU21" s="268"/>
      <c r="CV21" s="268"/>
      <c r="CW21" s="268"/>
      <c r="CX21" s="268"/>
      <c r="CY21" s="268"/>
      <c r="CZ21" s="268"/>
      <c r="DA21" s="268"/>
      <c r="DB21" s="268"/>
      <c r="DC21" s="268"/>
      <c r="DD21" s="268"/>
      <c r="DE21" s="268"/>
      <c r="DF21" s="268"/>
      <c r="DG21" s="268"/>
      <c r="DH21" s="268"/>
      <c r="DI21" s="268"/>
      <c r="DJ21" s="268"/>
      <c r="DK21" s="268"/>
      <c r="DL21" s="268"/>
      <c r="DM21" s="268"/>
      <c r="DN21" s="268"/>
      <c r="DO21" s="268"/>
      <c r="DP21" s="268"/>
      <c r="DQ21" s="268"/>
      <c r="DR21" s="268"/>
      <c r="DS21" s="268"/>
      <c r="DT21" s="268"/>
      <c r="DU21" s="268"/>
      <c r="DV21" s="268"/>
      <c r="DW21" s="268"/>
      <c r="DX21" s="268"/>
      <c r="DY21" s="268"/>
      <c r="DZ21" s="268"/>
      <c r="EA21" s="268"/>
      <c r="EB21" s="268"/>
      <c r="EC21" s="268"/>
      <c r="ED21" s="268"/>
      <c r="EE21" s="268"/>
      <c r="EF21" s="268"/>
      <c r="EG21" s="268"/>
      <c r="EH21" s="268"/>
    </row>
    <row r="22" spans="1:138" ht="15.95" outlineLevel="1">
      <c r="A22" s="474"/>
      <c r="B22" s="609"/>
      <c r="C22" s="294" t="s">
        <v>254</v>
      </c>
      <c r="D22" s="295" t="s">
        <v>245</v>
      </c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6"/>
      <c r="BN22" s="296"/>
      <c r="BO22" s="296"/>
      <c r="BP22" s="296"/>
      <c r="BQ22" s="296"/>
      <c r="BR22" s="296"/>
      <c r="BS22" s="296"/>
      <c r="BT22" s="296"/>
      <c r="BU22" s="296"/>
      <c r="BV22" s="296"/>
      <c r="BW22" s="296"/>
      <c r="BX22" s="296"/>
      <c r="BY22" s="297">
        <f t="shared" si="8"/>
        <v>0</v>
      </c>
      <c r="BZ22" s="599"/>
      <c r="CA22" s="268"/>
      <c r="CB22" s="293" t="e">
        <f t="shared" ca="1" si="9"/>
        <v>#N/A</v>
      </c>
      <c r="CC22" s="599"/>
      <c r="CD22" s="268"/>
      <c r="CE22" s="268"/>
      <c r="CF22" s="268"/>
      <c r="CG22" s="268"/>
      <c r="CH22" s="268"/>
      <c r="CI22" s="268"/>
      <c r="CJ22" s="268"/>
      <c r="CK22" s="268"/>
      <c r="CL22" s="268"/>
      <c r="CM22" s="268"/>
      <c r="CN22" s="268"/>
      <c r="CO22" s="268"/>
      <c r="CP22" s="268"/>
      <c r="CQ22" s="268"/>
      <c r="CR22" s="268"/>
      <c r="CS22" s="268"/>
      <c r="CT22" s="268"/>
      <c r="CU22" s="268"/>
      <c r="CV22" s="268"/>
      <c r="CW22" s="268"/>
      <c r="CX22" s="268"/>
      <c r="CY22" s="268"/>
      <c r="CZ22" s="268"/>
      <c r="DA22" s="268"/>
      <c r="DB22" s="268"/>
      <c r="DC22" s="268"/>
      <c r="DD22" s="268"/>
      <c r="DE22" s="268"/>
      <c r="DF22" s="268"/>
      <c r="DG22" s="268"/>
      <c r="DH22" s="268"/>
      <c r="DI22" s="268"/>
      <c r="DJ22" s="268"/>
      <c r="DK22" s="268"/>
      <c r="DL22" s="268"/>
      <c r="DM22" s="268"/>
      <c r="DN22" s="268"/>
      <c r="DO22" s="268"/>
      <c r="DP22" s="268"/>
      <c r="DQ22" s="268"/>
      <c r="DR22" s="268"/>
      <c r="DS22" s="268"/>
      <c r="DT22" s="268"/>
      <c r="DU22" s="268"/>
      <c r="DV22" s="268"/>
      <c r="DW22" s="268"/>
      <c r="DX22" s="268"/>
      <c r="DY22" s="268"/>
      <c r="DZ22" s="268"/>
      <c r="EA22" s="268"/>
      <c r="EB22" s="268"/>
      <c r="EC22" s="268"/>
      <c r="ED22" s="268"/>
      <c r="EE22" s="268"/>
      <c r="EF22" s="268"/>
      <c r="EG22" s="268"/>
      <c r="EH22" s="268"/>
    </row>
    <row r="23" spans="1:138" ht="15.95" outlineLevel="1">
      <c r="A23" s="474"/>
      <c r="B23" s="609"/>
      <c r="C23" s="294" t="s">
        <v>255</v>
      </c>
      <c r="D23" s="298" t="s">
        <v>245</v>
      </c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7">
        <f t="shared" si="8"/>
        <v>0</v>
      </c>
      <c r="BZ23" s="599"/>
      <c r="CA23" s="268"/>
      <c r="CB23" s="293" t="e">
        <f t="shared" ca="1" si="9"/>
        <v>#N/A</v>
      </c>
      <c r="CC23" s="599"/>
      <c r="CD23" s="268"/>
      <c r="CE23" s="268"/>
      <c r="CF23" s="268"/>
      <c r="CG23" s="268"/>
      <c r="CH23" s="268"/>
      <c r="CI23" s="268"/>
      <c r="CJ23" s="268"/>
      <c r="CK23" s="268"/>
      <c r="CL23" s="268"/>
      <c r="CM23" s="268"/>
      <c r="CN23" s="268"/>
      <c r="CO23" s="268"/>
      <c r="CP23" s="268"/>
      <c r="CQ23" s="268"/>
      <c r="CR23" s="268"/>
      <c r="CS23" s="268"/>
      <c r="CT23" s="268"/>
      <c r="CU23" s="268"/>
      <c r="CV23" s="268"/>
      <c r="CW23" s="268"/>
      <c r="CX23" s="268"/>
      <c r="CY23" s="268"/>
      <c r="CZ23" s="268"/>
      <c r="DA23" s="268"/>
      <c r="DB23" s="268"/>
      <c r="DC23" s="268"/>
      <c r="DD23" s="268"/>
      <c r="DE23" s="268"/>
      <c r="DF23" s="268"/>
      <c r="DG23" s="268"/>
      <c r="DH23" s="268"/>
      <c r="DI23" s="268"/>
      <c r="DJ23" s="268"/>
      <c r="DK23" s="268"/>
      <c r="DL23" s="268"/>
      <c r="DM23" s="268"/>
      <c r="DN23" s="268"/>
      <c r="DO23" s="268"/>
      <c r="DP23" s="268"/>
      <c r="DQ23" s="268"/>
      <c r="DR23" s="268"/>
      <c r="DS23" s="268"/>
      <c r="DT23" s="268"/>
      <c r="DU23" s="268"/>
      <c r="DV23" s="268"/>
      <c r="DW23" s="268"/>
      <c r="DX23" s="268"/>
      <c r="DY23" s="268"/>
      <c r="DZ23" s="268"/>
      <c r="EA23" s="268"/>
      <c r="EB23" s="268"/>
      <c r="EC23" s="268"/>
      <c r="ED23" s="268"/>
      <c r="EE23" s="268"/>
      <c r="EF23" s="268"/>
      <c r="EG23" s="268"/>
      <c r="EH23" s="268"/>
    </row>
    <row r="24" spans="1:138" ht="15.95">
      <c r="A24" s="474"/>
      <c r="B24" s="609"/>
      <c r="C24" s="289" t="s">
        <v>257</v>
      </c>
      <c r="D24" s="290"/>
      <c r="E24" s="291">
        <f t="shared" ref="E24:BY24" si="10">SUM(E25:E26)</f>
        <v>0</v>
      </c>
      <c r="F24" s="291">
        <f t="shared" si="10"/>
        <v>0</v>
      </c>
      <c r="G24" s="291">
        <f t="shared" si="10"/>
        <v>0</v>
      </c>
      <c r="H24" s="291">
        <f t="shared" si="10"/>
        <v>0</v>
      </c>
      <c r="I24" s="291">
        <f t="shared" si="10"/>
        <v>0</v>
      </c>
      <c r="J24" s="291">
        <f t="shared" si="10"/>
        <v>0</v>
      </c>
      <c r="K24" s="291">
        <f t="shared" si="10"/>
        <v>0</v>
      </c>
      <c r="L24" s="291">
        <f t="shared" si="10"/>
        <v>0</v>
      </c>
      <c r="M24" s="291">
        <f t="shared" si="10"/>
        <v>0</v>
      </c>
      <c r="N24" s="291">
        <f t="shared" si="10"/>
        <v>0</v>
      </c>
      <c r="O24" s="291">
        <f t="shared" si="10"/>
        <v>0</v>
      </c>
      <c r="P24" s="291">
        <f t="shared" si="10"/>
        <v>0</v>
      </c>
      <c r="Q24" s="291">
        <f t="shared" si="10"/>
        <v>0</v>
      </c>
      <c r="R24" s="291">
        <f t="shared" si="10"/>
        <v>0</v>
      </c>
      <c r="S24" s="291">
        <f t="shared" si="10"/>
        <v>0</v>
      </c>
      <c r="T24" s="291">
        <f t="shared" si="10"/>
        <v>0</v>
      </c>
      <c r="U24" s="291">
        <f t="shared" si="10"/>
        <v>0</v>
      </c>
      <c r="V24" s="291">
        <f t="shared" si="10"/>
        <v>0</v>
      </c>
      <c r="W24" s="291">
        <f t="shared" si="10"/>
        <v>0</v>
      </c>
      <c r="X24" s="291">
        <f t="shared" si="10"/>
        <v>0</v>
      </c>
      <c r="Y24" s="291">
        <f t="shared" si="10"/>
        <v>0</v>
      </c>
      <c r="Z24" s="291">
        <f t="shared" si="10"/>
        <v>0</v>
      </c>
      <c r="AA24" s="291">
        <f t="shared" si="10"/>
        <v>0</v>
      </c>
      <c r="AB24" s="291">
        <f t="shared" si="10"/>
        <v>0</v>
      </c>
      <c r="AC24" s="291">
        <f t="shared" si="10"/>
        <v>0</v>
      </c>
      <c r="AD24" s="291">
        <f t="shared" si="10"/>
        <v>0</v>
      </c>
      <c r="AE24" s="291">
        <f t="shared" si="10"/>
        <v>0</v>
      </c>
      <c r="AF24" s="291">
        <f t="shared" si="10"/>
        <v>0</v>
      </c>
      <c r="AG24" s="291">
        <f t="shared" si="10"/>
        <v>0</v>
      </c>
      <c r="AH24" s="291">
        <f t="shared" si="10"/>
        <v>0</v>
      </c>
      <c r="AI24" s="291">
        <f t="shared" si="10"/>
        <v>0</v>
      </c>
      <c r="AJ24" s="291">
        <f t="shared" si="10"/>
        <v>0</v>
      </c>
      <c r="AK24" s="291">
        <f t="shared" si="10"/>
        <v>0</v>
      </c>
      <c r="AL24" s="291">
        <f t="shared" si="10"/>
        <v>0</v>
      </c>
      <c r="AM24" s="291">
        <f t="shared" si="10"/>
        <v>0</v>
      </c>
      <c r="AN24" s="291">
        <f t="shared" si="10"/>
        <v>0</v>
      </c>
      <c r="AO24" s="291">
        <f t="shared" si="10"/>
        <v>0</v>
      </c>
      <c r="AP24" s="291">
        <f t="shared" si="10"/>
        <v>0</v>
      </c>
      <c r="AQ24" s="291">
        <f t="shared" si="10"/>
        <v>0</v>
      </c>
      <c r="AR24" s="291">
        <f t="shared" si="10"/>
        <v>0</v>
      </c>
      <c r="AS24" s="291">
        <f t="shared" si="10"/>
        <v>0</v>
      </c>
      <c r="AT24" s="291">
        <f t="shared" si="10"/>
        <v>0</v>
      </c>
      <c r="AU24" s="291">
        <f t="shared" si="10"/>
        <v>0</v>
      </c>
      <c r="AV24" s="291">
        <f t="shared" si="10"/>
        <v>0</v>
      </c>
      <c r="AW24" s="291">
        <f t="shared" si="10"/>
        <v>0</v>
      </c>
      <c r="AX24" s="291">
        <f t="shared" si="10"/>
        <v>0</v>
      </c>
      <c r="AY24" s="291">
        <f t="shared" si="10"/>
        <v>0</v>
      </c>
      <c r="AZ24" s="291">
        <f t="shared" si="10"/>
        <v>0</v>
      </c>
      <c r="BA24" s="291">
        <f t="shared" si="10"/>
        <v>0</v>
      </c>
      <c r="BB24" s="291">
        <f t="shared" si="10"/>
        <v>0</v>
      </c>
      <c r="BC24" s="291">
        <f t="shared" si="10"/>
        <v>0</v>
      </c>
      <c r="BD24" s="291">
        <f t="shared" si="10"/>
        <v>0</v>
      </c>
      <c r="BE24" s="291">
        <f t="shared" si="10"/>
        <v>0</v>
      </c>
      <c r="BF24" s="291">
        <f t="shared" si="10"/>
        <v>0</v>
      </c>
      <c r="BG24" s="291">
        <f t="shared" si="10"/>
        <v>0</v>
      </c>
      <c r="BH24" s="291">
        <f t="shared" si="10"/>
        <v>0</v>
      </c>
      <c r="BI24" s="291">
        <f t="shared" si="10"/>
        <v>0</v>
      </c>
      <c r="BJ24" s="291">
        <f t="shared" si="10"/>
        <v>0</v>
      </c>
      <c r="BK24" s="291">
        <f t="shared" si="10"/>
        <v>0</v>
      </c>
      <c r="BL24" s="291">
        <f t="shared" si="10"/>
        <v>0</v>
      </c>
      <c r="BM24" s="291">
        <f t="shared" si="10"/>
        <v>0</v>
      </c>
      <c r="BN24" s="291">
        <f t="shared" si="10"/>
        <v>0</v>
      </c>
      <c r="BO24" s="291">
        <f t="shared" si="10"/>
        <v>0</v>
      </c>
      <c r="BP24" s="291">
        <f t="shared" si="10"/>
        <v>0</v>
      </c>
      <c r="BQ24" s="291">
        <f t="shared" si="10"/>
        <v>0</v>
      </c>
      <c r="BR24" s="291">
        <f t="shared" si="10"/>
        <v>0</v>
      </c>
      <c r="BS24" s="291">
        <f t="shared" si="10"/>
        <v>0</v>
      </c>
      <c r="BT24" s="291">
        <f t="shared" si="10"/>
        <v>0</v>
      </c>
      <c r="BU24" s="291">
        <f t="shared" si="10"/>
        <v>0</v>
      </c>
      <c r="BV24" s="291">
        <f t="shared" si="10"/>
        <v>0</v>
      </c>
      <c r="BW24" s="291">
        <f t="shared" si="10"/>
        <v>0</v>
      </c>
      <c r="BX24" s="291">
        <f t="shared" si="10"/>
        <v>0</v>
      </c>
      <c r="BY24" s="292">
        <f t="shared" si="10"/>
        <v>0</v>
      </c>
      <c r="BZ24" s="599"/>
      <c r="CA24" s="268"/>
      <c r="CB24" s="293" t="e">
        <f t="array" aca="1" ref="CB24" ca="1">SUM(INDEX(E24:BX24, , 1):INDEX(E24:BX24, ,MATCH($CB$4, $E$3:$BX$3,0) ))</f>
        <v>#N/A</v>
      </c>
      <c r="CC24" s="599"/>
      <c r="CD24" s="268"/>
      <c r="CE24" s="268"/>
      <c r="CF24" s="268"/>
      <c r="CG24" s="268"/>
      <c r="CH24" s="268"/>
      <c r="CI24" s="268"/>
      <c r="CJ24" s="268"/>
      <c r="CK24" s="268"/>
      <c r="CL24" s="268"/>
      <c r="CM24" s="268"/>
      <c r="CN24" s="268"/>
      <c r="CO24" s="268"/>
      <c r="CP24" s="268"/>
      <c r="CQ24" s="268"/>
      <c r="CR24" s="268"/>
      <c r="CS24" s="268"/>
      <c r="CT24" s="268"/>
      <c r="CU24" s="268"/>
      <c r="CV24" s="268"/>
      <c r="CW24" s="268"/>
      <c r="CX24" s="268"/>
      <c r="CY24" s="268"/>
      <c r="CZ24" s="268"/>
      <c r="DA24" s="268"/>
      <c r="DB24" s="268"/>
      <c r="DC24" s="268"/>
      <c r="DD24" s="268"/>
      <c r="DE24" s="268"/>
      <c r="DF24" s="268"/>
      <c r="DG24" s="268"/>
      <c r="DH24" s="268"/>
      <c r="DI24" s="268"/>
      <c r="DJ24" s="268"/>
      <c r="DK24" s="268"/>
      <c r="DL24" s="268"/>
      <c r="DM24" s="268"/>
      <c r="DN24" s="268"/>
      <c r="DO24" s="268"/>
      <c r="DP24" s="268"/>
      <c r="DQ24" s="268"/>
      <c r="DR24" s="268"/>
      <c r="DS24" s="268"/>
      <c r="DT24" s="268"/>
      <c r="DU24" s="268"/>
      <c r="DV24" s="268"/>
      <c r="DW24" s="268"/>
      <c r="DX24" s="268"/>
      <c r="DY24" s="268"/>
      <c r="DZ24" s="268"/>
      <c r="EA24" s="268"/>
      <c r="EB24" s="268"/>
      <c r="EC24" s="268"/>
      <c r="ED24" s="268"/>
      <c r="EE24" s="268"/>
      <c r="EF24" s="268"/>
      <c r="EG24" s="268"/>
      <c r="EH24" s="268"/>
    </row>
    <row r="25" spans="1:138" ht="15.95" outlineLevel="1">
      <c r="A25" s="474"/>
      <c r="B25" s="609"/>
      <c r="C25" s="294" t="s">
        <v>258</v>
      </c>
      <c r="D25" s="298" t="s">
        <v>245</v>
      </c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299"/>
      <c r="AO25" s="299"/>
      <c r="AP25" s="299"/>
      <c r="AQ25" s="299"/>
      <c r="AR25" s="299"/>
      <c r="AS25" s="299"/>
      <c r="AT25" s="299"/>
      <c r="AU25" s="299"/>
      <c r="AV25" s="299"/>
      <c r="AW25" s="299"/>
      <c r="AX25" s="299"/>
      <c r="AY25" s="299"/>
      <c r="AZ25" s="299"/>
      <c r="BA25" s="299"/>
      <c r="BB25" s="299"/>
      <c r="BC25" s="299"/>
      <c r="BD25" s="299"/>
      <c r="BE25" s="299"/>
      <c r="BF25" s="299"/>
      <c r="BG25" s="299"/>
      <c r="BH25" s="299"/>
      <c r="BI25" s="299"/>
      <c r="BJ25" s="299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  <c r="BU25" s="299"/>
      <c r="BV25" s="299"/>
      <c r="BW25" s="299"/>
      <c r="BX25" s="299"/>
      <c r="BY25" s="300">
        <f t="shared" ref="BY25:BY26" si="11">SUM(E25:BX25)</f>
        <v>0</v>
      </c>
      <c r="BZ25" s="599"/>
      <c r="CA25" s="268"/>
      <c r="CB25" s="293" t="e">
        <f t="shared" ref="CB25:CB26" ca="1" si="12">SUM(INDEX(AC25:BX25, , 1):INDEX(AC25:BX25, ,MATCH(#REF!, $E$3:$BX$3,0) ))</f>
        <v>#REF!</v>
      </c>
      <c r="CC25" s="599"/>
      <c r="CD25" s="268"/>
      <c r="CE25" s="268"/>
      <c r="CF25" s="268"/>
      <c r="CG25" s="268"/>
      <c r="CH25" s="268"/>
      <c r="CI25" s="268"/>
      <c r="CJ25" s="268"/>
      <c r="CK25" s="268"/>
      <c r="CL25" s="268"/>
      <c r="CM25" s="268"/>
      <c r="CN25" s="268"/>
      <c r="CO25" s="268"/>
      <c r="CP25" s="268"/>
      <c r="CQ25" s="268"/>
      <c r="CR25" s="268"/>
      <c r="CS25" s="268"/>
      <c r="CT25" s="268"/>
      <c r="CU25" s="268"/>
      <c r="CV25" s="268"/>
      <c r="CW25" s="268"/>
      <c r="CX25" s="268"/>
      <c r="CY25" s="268"/>
      <c r="CZ25" s="268"/>
      <c r="DA25" s="268"/>
      <c r="DB25" s="268"/>
      <c r="DC25" s="268"/>
      <c r="DD25" s="268"/>
      <c r="DE25" s="268"/>
      <c r="DF25" s="268"/>
      <c r="DG25" s="268"/>
      <c r="DH25" s="268"/>
      <c r="DI25" s="268"/>
      <c r="DJ25" s="268"/>
      <c r="DK25" s="268"/>
      <c r="DL25" s="268"/>
      <c r="DM25" s="268"/>
      <c r="DN25" s="268"/>
      <c r="DO25" s="268"/>
      <c r="DP25" s="268"/>
      <c r="DQ25" s="268"/>
      <c r="DR25" s="268"/>
      <c r="DS25" s="268"/>
      <c r="DT25" s="268"/>
      <c r="DU25" s="268"/>
      <c r="DV25" s="268"/>
      <c r="DW25" s="268"/>
      <c r="DX25" s="268"/>
      <c r="DY25" s="268"/>
      <c r="DZ25" s="268"/>
      <c r="EA25" s="268"/>
      <c r="EB25" s="268"/>
      <c r="EC25" s="268"/>
      <c r="ED25" s="268"/>
      <c r="EE25" s="268"/>
      <c r="EF25" s="268"/>
      <c r="EG25" s="268"/>
      <c r="EH25" s="268"/>
    </row>
    <row r="26" spans="1:138" ht="15.95" outlineLevel="1">
      <c r="A26" s="474"/>
      <c r="B26" s="609"/>
      <c r="C26" s="294" t="s">
        <v>259</v>
      </c>
      <c r="D26" s="298" t="s">
        <v>245</v>
      </c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299"/>
      <c r="AL26" s="299"/>
      <c r="AM26" s="299"/>
      <c r="AN26" s="299"/>
      <c r="AO26" s="299"/>
      <c r="AP26" s="299"/>
      <c r="AQ26" s="299"/>
      <c r="AR26" s="299"/>
      <c r="AS26" s="299"/>
      <c r="AT26" s="299"/>
      <c r="AU26" s="299"/>
      <c r="AV26" s="299"/>
      <c r="AW26" s="299"/>
      <c r="AX26" s="299"/>
      <c r="AY26" s="299"/>
      <c r="AZ26" s="299"/>
      <c r="BA26" s="299"/>
      <c r="BB26" s="299"/>
      <c r="BC26" s="299"/>
      <c r="BD26" s="299"/>
      <c r="BE26" s="299"/>
      <c r="BF26" s="299"/>
      <c r="BG26" s="299"/>
      <c r="BH26" s="299"/>
      <c r="BI26" s="299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  <c r="BU26" s="299"/>
      <c r="BV26" s="299"/>
      <c r="BW26" s="299"/>
      <c r="BX26" s="299"/>
      <c r="BY26" s="300">
        <f t="shared" si="11"/>
        <v>0</v>
      </c>
      <c r="BZ26" s="599"/>
      <c r="CA26" s="268"/>
      <c r="CB26" s="293" t="e">
        <f t="shared" ca="1" si="12"/>
        <v>#REF!</v>
      </c>
      <c r="CC26" s="599"/>
      <c r="CD26" s="268"/>
      <c r="CE26" s="268"/>
      <c r="CF26" s="268"/>
      <c r="CG26" s="268"/>
      <c r="CH26" s="268"/>
      <c r="CI26" s="268"/>
      <c r="CJ26" s="268"/>
      <c r="CK26" s="268"/>
      <c r="CL26" s="268"/>
      <c r="CM26" s="268"/>
      <c r="CN26" s="268"/>
      <c r="CO26" s="268"/>
      <c r="CP26" s="268"/>
      <c r="CQ26" s="268"/>
      <c r="CR26" s="268"/>
      <c r="CS26" s="268"/>
      <c r="CT26" s="268"/>
      <c r="CU26" s="268"/>
      <c r="CV26" s="268"/>
      <c r="CW26" s="268"/>
      <c r="CX26" s="268"/>
      <c r="CY26" s="268"/>
      <c r="CZ26" s="268"/>
      <c r="DA26" s="268"/>
      <c r="DB26" s="268"/>
      <c r="DC26" s="268"/>
      <c r="DD26" s="268"/>
      <c r="DE26" s="268"/>
      <c r="DF26" s="268"/>
      <c r="DG26" s="268"/>
      <c r="DH26" s="268"/>
      <c r="DI26" s="268"/>
      <c r="DJ26" s="268"/>
      <c r="DK26" s="268"/>
      <c r="DL26" s="268"/>
      <c r="DM26" s="268"/>
      <c r="DN26" s="268"/>
      <c r="DO26" s="268"/>
      <c r="DP26" s="268"/>
      <c r="DQ26" s="268"/>
      <c r="DR26" s="268"/>
      <c r="DS26" s="268"/>
      <c r="DT26" s="268"/>
      <c r="DU26" s="268"/>
      <c r="DV26" s="268"/>
      <c r="DW26" s="268"/>
      <c r="DX26" s="268"/>
      <c r="DY26" s="268"/>
      <c r="DZ26" s="268"/>
      <c r="EA26" s="268"/>
      <c r="EB26" s="268"/>
      <c r="EC26" s="268"/>
      <c r="ED26" s="268"/>
      <c r="EE26" s="268"/>
      <c r="EF26" s="268"/>
      <c r="EG26" s="268"/>
      <c r="EH26" s="268"/>
    </row>
    <row r="27" spans="1:138" ht="15.95">
      <c r="A27" s="474"/>
      <c r="B27" s="609"/>
      <c r="C27" s="289" t="s">
        <v>260</v>
      </c>
      <c r="D27" s="290"/>
      <c r="E27" s="291">
        <f t="shared" ref="E27:BX27" si="13">SUM(E28:E34)</f>
        <v>0</v>
      </c>
      <c r="F27" s="291">
        <f t="shared" si="13"/>
        <v>0</v>
      </c>
      <c r="G27" s="291">
        <f t="shared" si="13"/>
        <v>0</v>
      </c>
      <c r="H27" s="291">
        <f t="shared" si="13"/>
        <v>0</v>
      </c>
      <c r="I27" s="291">
        <f t="shared" si="13"/>
        <v>0</v>
      </c>
      <c r="J27" s="291">
        <f t="shared" si="13"/>
        <v>0</v>
      </c>
      <c r="K27" s="291">
        <f t="shared" si="13"/>
        <v>0</v>
      </c>
      <c r="L27" s="291">
        <f t="shared" si="13"/>
        <v>0</v>
      </c>
      <c r="M27" s="291">
        <f t="shared" si="13"/>
        <v>0</v>
      </c>
      <c r="N27" s="291">
        <f t="shared" si="13"/>
        <v>0</v>
      </c>
      <c r="O27" s="291">
        <f t="shared" si="13"/>
        <v>0</v>
      </c>
      <c r="P27" s="291">
        <f t="shared" si="13"/>
        <v>0</v>
      </c>
      <c r="Q27" s="291">
        <f t="shared" si="13"/>
        <v>0</v>
      </c>
      <c r="R27" s="291">
        <f t="shared" si="13"/>
        <v>0</v>
      </c>
      <c r="S27" s="291">
        <f t="shared" si="13"/>
        <v>-58722</v>
      </c>
      <c r="T27" s="291">
        <f t="shared" si="13"/>
        <v>-933897.2888888889</v>
      </c>
      <c r="U27" s="291">
        <f t="shared" si="13"/>
        <v>-933897.2888888889</v>
      </c>
      <c r="V27" s="291">
        <f t="shared" si="13"/>
        <v>-11808341.733333332</v>
      </c>
      <c r="W27" s="291">
        <f t="shared" si="13"/>
        <v>-11808341.733333332</v>
      </c>
      <c r="X27" s="291">
        <f t="shared" si="13"/>
        <v>-11808341.733333332</v>
      </c>
      <c r="Y27" s="291">
        <f t="shared" si="13"/>
        <v>-11808341.733333332</v>
      </c>
      <c r="Z27" s="291">
        <f t="shared" si="13"/>
        <v>-11808341.733333332</v>
      </c>
      <c r="AA27" s="291">
        <f t="shared" si="13"/>
        <v>-11808341.733333332</v>
      </c>
      <c r="AB27" s="291">
        <f t="shared" si="13"/>
        <v>-11808341.733333332</v>
      </c>
      <c r="AC27" s="291">
        <f t="shared" si="13"/>
        <v>-10874444.444444444</v>
      </c>
      <c r="AD27" s="291">
        <f t="shared" si="13"/>
        <v>-10874444.444444444</v>
      </c>
      <c r="AE27" s="291">
        <f t="shared" si="13"/>
        <v>-10874444.444444444</v>
      </c>
      <c r="AF27" s="291">
        <f t="shared" si="13"/>
        <v>0</v>
      </c>
      <c r="AG27" s="291">
        <f t="shared" si="13"/>
        <v>0</v>
      </c>
      <c r="AH27" s="291">
        <f t="shared" si="13"/>
        <v>0</v>
      </c>
      <c r="AI27" s="291">
        <f t="shared" si="13"/>
        <v>0</v>
      </c>
      <c r="AJ27" s="291">
        <f t="shared" si="13"/>
        <v>0</v>
      </c>
      <c r="AK27" s="291">
        <f t="shared" si="13"/>
        <v>0</v>
      </c>
      <c r="AL27" s="291">
        <f t="shared" si="13"/>
        <v>0</v>
      </c>
      <c r="AM27" s="291">
        <f t="shared" si="13"/>
        <v>0</v>
      </c>
      <c r="AN27" s="291">
        <f t="shared" si="13"/>
        <v>0</v>
      </c>
      <c r="AO27" s="291">
        <f t="shared" si="13"/>
        <v>0</v>
      </c>
      <c r="AP27" s="291">
        <f t="shared" si="13"/>
        <v>0</v>
      </c>
      <c r="AQ27" s="291">
        <f t="shared" si="13"/>
        <v>0</v>
      </c>
      <c r="AR27" s="291">
        <f t="shared" si="13"/>
        <v>0</v>
      </c>
      <c r="AS27" s="291">
        <f t="shared" si="13"/>
        <v>0</v>
      </c>
      <c r="AT27" s="291">
        <f t="shared" si="13"/>
        <v>0</v>
      </c>
      <c r="AU27" s="291">
        <f t="shared" si="13"/>
        <v>0</v>
      </c>
      <c r="AV27" s="291">
        <f t="shared" si="13"/>
        <v>0</v>
      </c>
      <c r="AW27" s="291">
        <f t="shared" si="13"/>
        <v>0</v>
      </c>
      <c r="AX27" s="291">
        <f t="shared" si="13"/>
        <v>0</v>
      </c>
      <c r="AY27" s="291">
        <f t="shared" si="13"/>
        <v>0</v>
      </c>
      <c r="AZ27" s="291">
        <f t="shared" si="13"/>
        <v>0</v>
      </c>
      <c r="BA27" s="291">
        <f t="shared" si="13"/>
        <v>0</v>
      </c>
      <c r="BB27" s="291">
        <f t="shared" si="13"/>
        <v>0</v>
      </c>
      <c r="BC27" s="291">
        <f t="shared" si="13"/>
        <v>0</v>
      </c>
      <c r="BD27" s="291">
        <f t="shared" si="13"/>
        <v>0</v>
      </c>
      <c r="BE27" s="291">
        <f t="shared" si="13"/>
        <v>0</v>
      </c>
      <c r="BF27" s="291">
        <f t="shared" si="13"/>
        <v>0</v>
      </c>
      <c r="BG27" s="291">
        <f t="shared" si="13"/>
        <v>0</v>
      </c>
      <c r="BH27" s="291">
        <f t="shared" si="13"/>
        <v>0</v>
      </c>
      <c r="BI27" s="291">
        <f t="shared" si="13"/>
        <v>0</v>
      </c>
      <c r="BJ27" s="291">
        <f t="shared" si="13"/>
        <v>0</v>
      </c>
      <c r="BK27" s="291">
        <f t="shared" si="13"/>
        <v>0</v>
      </c>
      <c r="BL27" s="291">
        <f t="shared" si="13"/>
        <v>0</v>
      </c>
      <c r="BM27" s="291">
        <f t="shared" si="13"/>
        <v>0</v>
      </c>
      <c r="BN27" s="291">
        <f t="shared" si="13"/>
        <v>0</v>
      </c>
      <c r="BO27" s="291">
        <f t="shared" si="13"/>
        <v>0</v>
      </c>
      <c r="BP27" s="291">
        <f t="shared" si="13"/>
        <v>0</v>
      </c>
      <c r="BQ27" s="291">
        <f t="shared" si="13"/>
        <v>0</v>
      </c>
      <c r="BR27" s="291">
        <f t="shared" si="13"/>
        <v>0</v>
      </c>
      <c r="BS27" s="291">
        <f t="shared" si="13"/>
        <v>0</v>
      </c>
      <c r="BT27" s="291">
        <f t="shared" si="13"/>
        <v>0</v>
      </c>
      <c r="BU27" s="291">
        <f t="shared" si="13"/>
        <v>0</v>
      </c>
      <c r="BV27" s="291">
        <f t="shared" si="13"/>
        <v>0</v>
      </c>
      <c r="BW27" s="291">
        <f t="shared" si="13"/>
        <v>0</v>
      </c>
      <c r="BX27" s="291">
        <f t="shared" si="13"/>
        <v>0</v>
      </c>
      <c r="BY27" s="293">
        <f>SUM(BY28:BY34)</f>
        <v>-117208242.04444446</v>
      </c>
      <c r="BZ27" s="599"/>
      <c r="CA27" s="268"/>
      <c r="CB27" s="293" t="e">
        <f t="array" aca="1" ref="CB27" ca="1">SUM(INDEX(E27:BX27, , 1):INDEX(E27:BX27, ,MATCH($CB$4, $E$3:$BX$3,0) ))</f>
        <v>#N/A</v>
      </c>
      <c r="CC27" s="599"/>
      <c r="CD27" s="268"/>
      <c r="CE27" s="268"/>
      <c r="CF27" s="268"/>
      <c r="CG27" s="268"/>
      <c r="CH27" s="268"/>
      <c r="CI27" s="268"/>
      <c r="CJ27" s="268"/>
      <c r="CK27" s="268"/>
      <c r="CL27" s="268"/>
      <c r="CM27" s="268"/>
      <c r="CN27" s="268"/>
      <c r="CO27" s="268"/>
      <c r="CP27" s="268"/>
      <c r="CQ27" s="268"/>
      <c r="CR27" s="268"/>
      <c r="CS27" s="268"/>
      <c r="CT27" s="268"/>
      <c r="CU27" s="268"/>
      <c r="CV27" s="268"/>
      <c r="CW27" s="268"/>
      <c r="CX27" s="268"/>
      <c r="CY27" s="268"/>
      <c r="CZ27" s="268"/>
      <c r="DA27" s="268"/>
      <c r="DB27" s="268"/>
      <c r="DC27" s="268"/>
      <c r="DD27" s="268"/>
      <c r="DE27" s="268"/>
      <c r="DF27" s="268"/>
      <c r="DG27" s="268"/>
      <c r="DH27" s="268"/>
      <c r="DI27" s="268"/>
      <c r="DJ27" s="268"/>
      <c r="DK27" s="268"/>
      <c r="DL27" s="268"/>
      <c r="DM27" s="268"/>
      <c r="DN27" s="268"/>
      <c r="DO27" s="268"/>
      <c r="DP27" s="268"/>
      <c r="DQ27" s="268"/>
      <c r="DR27" s="268"/>
      <c r="DS27" s="268"/>
      <c r="DT27" s="268"/>
      <c r="DU27" s="268"/>
      <c r="DV27" s="268"/>
      <c r="DW27" s="268"/>
      <c r="DX27" s="268"/>
      <c r="DY27" s="268"/>
      <c r="DZ27" s="268"/>
      <c r="EA27" s="268"/>
      <c r="EB27" s="268"/>
      <c r="EC27" s="268"/>
      <c r="ED27" s="268"/>
      <c r="EE27" s="268"/>
      <c r="EF27" s="268"/>
      <c r="EG27" s="268"/>
      <c r="EH27" s="268"/>
    </row>
    <row r="28" spans="1:138" ht="15.95" outlineLevel="1">
      <c r="A28" s="474"/>
      <c r="B28" s="609"/>
      <c r="C28" s="294" t="s">
        <v>261</v>
      </c>
      <c r="D28" s="295" t="s">
        <v>245</v>
      </c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>
        <f>-Businessplan_prodej!$F$30/9</f>
        <v>-10874444.444444444</v>
      </c>
      <c r="W28" s="296">
        <f>-Businessplan_prodej!$F$30/9</f>
        <v>-10874444.444444444</v>
      </c>
      <c r="X28" s="296">
        <f>-Businessplan_prodej!$F$30/9</f>
        <v>-10874444.444444444</v>
      </c>
      <c r="Y28" s="296">
        <f>-Businessplan_prodej!$F$30/9</f>
        <v>-10874444.444444444</v>
      </c>
      <c r="Z28" s="296">
        <f>-Businessplan_prodej!$F$30/9</f>
        <v>-10874444.444444444</v>
      </c>
      <c r="AA28" s="296">
        <f>-Businessplan_prodej!$F$30/9</f>
        <v>-10874444.444444444</v>
      </c>
      <c r="AB28" s="296">
        <f>-Businessplan_prodej!$F$30/9</f>
        <v>-10874444.444444444</v>
      </c>
      <c r="AC28" s="296">
        <f>-Businessplan_prodej!$F$30/9</f>
        <v>-10874444.444444444</v>
      </c>
      <c r="AD28" s="296">
        <f>-Businessplan_prodej!$F$30/9</f>
        <v>-10874444.444444444</v>
      </c>
      <c r="AE28" s="296">
        <f>-Businessplan_prodej!$F$30/9</f>
        <v>-10874444.444444444</v>
      </c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  <c r="BV28" s="296"/>
      <c r="BW28" s="296"/>
      <c r="BX28" s="301"/>
      <c r="BY28" s="302">
        <f t="shared" ref="BY28:BY34" si="14">SUM(E28:BX28)</f>
        <v>-108744444.44444446</v>
      </c>
      <c r="BZ28" s="599"/>
      <c r="CA28" s="268"/>
      <c r="CB28" s="293" t="e">
        <f t="shared" ref="CB28:CB34" ca="1" si="15">SUM(INDEX(AC28:BX28, , 1):INDEX(AC28:BX28, ,MATCH(#REF!, $E$3:$BX$3,0) ))</f>
        <v>#REF!</v>
      </c>
      <c r="CC28" s="599"/>
      <c r="CD28" s="268"/>
      <c r="CE28" s="268"/>
      <c r="CF28" s="268"/>
      <c r="CG28" s="268"/>
      <c r="CH28" s="268"/>
      <c r="CI28" s="268"/>
      <c r="CJ28" s="268"/>
      <c r="CK28" s="268"/>
      <c r="CL28" s="268"/>
      <c r="CM28" s="268"/>
      <c r="CN28" s="268"/>
      <c r="CO28" s="268"/>
      <c r="CP28" s="268"/>
      <c r="CQ28" s="268"/>
      <c r="CR28" s="268"/>
      <c r="CS28" s="268"/>
      <c r="CT28" s="268"/>
      <c r="CU28" s="268"/>
      <c r="CV28" s="268"/>
      <c r="CW28" s="268"/>
      <c r="CX28" s="268"/>
      <c r="CY28" s="268"/>
      <c r="CZ28" s="268"/>
      <c r="DA28" s="268"/>
      <c r="DB28" s="268"/>
      <c r="DC28" s="268"/>
      <c r="DD28" s="268"/>
      <c r="DE28" s="268"/>
      <c r="DF28" s="268"/>
      <c r="DG28" s="268"/>
      <c r="DH28" s="268"/>
      <c r="DI28" s="268"/>
      <c r="DJ28" s="268"/>
      <c r="DK28" s="268"/>
      <c r="DL28" s="268"/>
      <c r="DM28" s="268"/>
      <c r="DN28" s="268"/>
      <c r="DO28" s="268"/>
      <c r="DP28" s="268"/>
      <c r="DQ28" s="268"/>
      <c r="DR28" s="268"/>
      <c r="DS28" s="268"/>
      <c r="DT28" s="268"/>
      <c r="DU28" s="268"/>
      <c r="DV28" s="268"/>
      <c r="DW28" s="268"/>
      <c r="DX28" s="268"/>
      <c r="DY28" s="268"/>
      <c r="DZ28" s="268"/>
      <c r="EA28" s="268"/>
      <c r="EB28" s="268"/>
      <c r="EC28" s="268"/>
      <c r="ED28" s="268"/>
      <c r="EE28" s="268"/>
      <c r="EF28" s="268"/>
      <c r="EG28" s="268"/>
      <c r="EH28" s="268"/>
    </row>
    <row r="29" spans="1:138" ht="15.95" outlineLevel="1">
      <c r="A29" s="474"/>
      <c r="B29" s="609"/>
      <c r="C29" s="294" t="s">
        <v>262</v>
      </c>
      <c r="D29" s="295" t="s">
        <v>245</v>
      </c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6"/>
      <c r="BO29" s="296"/>
      <c r="BP29" s="296"/>
      <c r="BQ29" s="296"/>
      <c r="BR29" s="296"/>
      <c r="BS29" s="296"/>
      <c r="BT29" s="296"/>
      <c r="BU29" s="296"/>
      <c r="BV29" s="296"/>
      <c r="BW29" s="296"/>
      <c r="BX29" s="301"/>
      <c r="BY29" s="303">
        <f t="shared" si="14"/>
        <v>0</v>
      </c>
      <c r="BZ29" s="599"/>
      <c r="CA29" s="268"/>
      <c r="CB29" s="293" t="e">
        <f t="shared" ca="1" si="15"/>
        <v>#REF!</v>
      </c>
      <c r="CC29" s="599"/>
      <c r="CD29" s="268"/>
      <c r="CE29" s="268"/>
      <c r="CF29" s="268"/>
      <c r="CG29" s="268"/>
      <c r="CH29" s="268"/>
      <c r="CI29" s="268"/>
      <c r="CJ29" s="268"/>
      <c r="CK29" s="268"/>
      <c r="CL29" s="268"/>
      <c r="CM29" s="268"/>
      <c r="CN29" s="268"/>
      <c r="CO29" s="268"/>
      <c r="CP29" s="268"/>
      <c r="CQ29" s="268"/>
      <c r="CR29" s="268"/>
      <c r="CS29" s="268"/>
      <c r="CT29" s="268"/>
      <c r="CU29" s="268"/>
      <c r="CV29" s="268"/>
      <c r="CW29" s="268"/>
      <c r="CX29" s="268"/>
      <c r="CY29" s="268"/>
      <c r="CZ29" s="268"/>
      <c r="DA29" s="268"/>
      <c r="DB29" s="268"/>
      <c r="DC29" s="268"/>
      <c r="DD29" s="268"/>
      <c r="DE29" s="268"/>
      <c r="DF29" s="268"/>
      <c r="DG29" s="268"/>
      <c r="DH29" s="268"/>
      <c r="DI29" s="268"/>
      <c r="DJ29" s="268"/>
      <c r="DK29" s="268"/>
      <c r="DL29" s="268"/>
      <c r="DM29" s="268"/>
      <c r="DN29" s="268"/>
      <c r="DO29" s="268"/>
      <c r="DP29" s="268"/>
      <c r="DQ29" s="268"/>
      <c r="DR29" s="268"/>
      <c r="DS29" s="268"/>
      <c r="DT29" s="268"/>
      <c r="DU29" s="268"/>
      <c r="DV29" s="268"/>
      <c r="DW29" s="268"/>
      <c r="DX29" s="268"/>
      <c r="DY29" s="268"/>
      <c r="DZ29" s="268"/>
      <c r="EA29" s="268"/>
      <c r="EB29" s="268"/>
      <c r="EC29" s="268"/>
      <c r="ED29" s="268"/>
      <c r="EE29" s="268"/>
      <c r="EF29" s="268"/>
      <c r="EG29" s="268"/>
      <c r="EH29" s="268"/>
    </row>
    <row r="30" spans="1:138" ht="15.95" outlineLevel="1">
      <c r="A30" s="474"/>
      <c r="B30" s="609"/>
      <c r="C30" s="294" t="s">
        <v>263</v>
      </c>
      <c r="D30" s="295" t="s">
        <v>245</v>
      </c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6"/>
      <c r="BN30" s="296"/>
      <c r="BO30" s="296"/>
      <c r="BP30" s="296"/>
      <c r="BQ30" s="296"/>
      <c r="BR30" s="296"/>
      <c r="BS30" s="296"/>
      <c r="BT30" s="296"/>
      <c r="BU30" s="296"/>
      <c r="BV30" s="296"/>
      <c r="BW30" s="296"/>
      <c r="BX30" s="301"/>
      <c r="BY30" s="303">
        <f t="shared" si="14"/>
        <v>0</v>
      </c>
      <c r="BZ30" s="599"/>
      <c r="CA30" s="268"/>
      <c r="CB30" s="293" t="e">
        <f t="shared" ca="1" si="15"/>
        <v>#REF!</v>
      </c>
      <c r="CC30" s="599"/>
      <c r="CD30" s="268"/>
      <c r="CE30" s="268"/>
      <c r="CF30" s="268"/>
      <c r="CG30" s="268"/>
      <c r="CH30" s="268"/>
      <c r="CI30" s="268"/>
      <c r="CJ30" s="268"/>
      <c r="CK30" s="268"/>
      <c r="CL30" s="268"/>
      <c r="CM30" s="268"/>
      <c r="CN30" s="268"/>
      <c r="CO30" s="268"/>
      <c r="CP30" s="268"/>
      <c r="CQ30" s="268"/>
      <c r="CR30" s="268"/>
      <c r="CS30" s="268"/>
      <c r="CT30" s="268"/>
      <c r="CU30" s="268"/>
      <c r="CV30" s="268"/>
      <c r="CW30" s="268"/>
      <c r="CX30" s="268"/>
      <c r="CY30" s="268"/>
      <c r="CZ30" s="268"/>
      <c r="DA30" s="268"/>
      <c r="DB30" s="268"/>
      <c r="DC30" s="268"/>
      <c r="DD30" s="268"/>
      <c r="DE30" s="268"/>
      <c r="DF30" s="268"/>
      <c r="DG30" s="268"/>
      <c r="DH30" s="268"/>
      <c r="DI30" s="268"/>
      <c r="DJ30" s="268"/>
      <c r="DK30" s="268"/>
      <c r="DL30" s="268"/>
      <c r="DM30" s="268"/>
      <c r="DN30" s="268"/>
      <c r="DO30" s="268"/>
      <c r="DP30" s="268"/>
      <c r="DQ30" s="268"/>
      <c r="DR30" s="268"/>
      <c r="DS30" s="268"/>
      <c r="DT30" s="268"/>
      <c r="DU30" s="268"/>
      <c r="DV30" s="268"/>
      <c r="DW30" s="268"/>
      <c r="DX30" s="268"/>
      <c r="DY30" s="268"/>
      <c r="DZ30" s="268"/>
      <c r="EA30" s="268"/>
      <c r="EB30" s="268"/>
      <c r="EC30" s="268"/>
      <c r="ED30" s="268"/>
      <c r="EE30" s="268"/>
      <c r="EF30" s="268"/>
      <c r="EG30" s="268"/>
      <c r="EH30" s="268"/>
    </row>
    <row r="31" spans="1:138" ht="15.95" outlineLevel="1">
      <c r="A31" s="474"/>
      <c r="B31" s="609"/>
      <c r="C31" s="294" t="s">
        <v>264</v>
      </c>
      <c r="D31" s="295" t="s">
        <v>245</v>
      </c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  <c r="BQ31" s="296"/>
      <c r="BR31" s="296"/>
      <c r="BS31" s="296"/>
      <c r="BT31" s="296"/>
      <c r="BU31" s="296"/>
      <c r="BV31" s="296"/>
      <c r="BW31" s="296"/>
      <c r="BX31" s="301"/>
      <c r="BY31" s="303">
        <f t="shared" si="14"/>
        <v>0</v>
      </c>
      <c r="BZ31" s="599"/>
      <c r="CA31" s="268"/>
      <c r="CB31" s="293" t="e">
        <f t="shared" ca="1" si="15"/>
        <v>#REF!</v>
      </c>
      <c r="CC31" s="599"/>
      <c r="CD31" s="268"/>
      <c r="CE31" s="268"/>
      <c r="CF31" s="268"/>
      <c r="CG31" s="268"/>
      <c r="CH31" s="268"/>
      <c r="CI31" s="268"/>
      <c r="CJ31" s="268"/>
      <c r="CK31" s="268"/>
      <c r="CL31" s="268"/>
      <c r="CM31" s="268"/>
      <c r="CN31" s="268"/>
      <c r="CO31" s="268"/>
      <c r="CP31" s="268"/>
      <c r="CQ31" s="268"/>
      <c r="CR31" s="268"/>
      <c r="CS31" s="268"/>
      <c r="CT31" s="268"/>
      <c r="CU31" s="268"/>
      <c r="CV31" s="268"/>
      <c r="CW31" s="268"/>
      <c r="CX31" s="268"/>
      <c r="CY31" s="268"/>
      <c r="CZ31" s="268"/>
      <c r="DA31" s="268"/>
      <c r="DB31" s="268"/>
      <c r="DC31" s="268"/>
      <c r="DD31" s="268"/>
      <c r="DE31" s="268"/>
      <c r="DF31" s="268"/>
      <c r="DG31" s="268"/>
      <c r="DH31" s="268"/>
      <c r="DI31" s="268"/>
      <c r="DJ31" s="268"/>
      <c r="DK31" s="268"/>
      <c r="DL31" s="268"/>
      <c r="DM31" s="268"/>
      <c r="DN31" s="268"/>
      <c r="DO31" s="268"/>
      <c r="DP31" s="268"/>
      <c r="DQ31" s="268"/>
      <c r="DR31" s="268"/>
      <c r="DS31" s="268"/>
      <c r="DT31" s="268"/>
      <c r="DU31" s="268"/>
      <c r="DV31" s="268"/>
      <c r="DW31" s="268"/>
      <c r="DX31" s="268"/>
      <c r="DY31" s="268"/>
      <c r="DZ31" s="268"/>
      <c r="EA31" s="268"/>
      <c r="EB31" s="268"/>
      <c r="EC31" s="268"/>
      <c r="ED31" s="268"/>
      <c r="EE31" s="268"/>
      <c r="EF31" s="268"/>
      <c r="EG31" s="268"/>
      <c r="EH31" s="268"/>
    </row>
    <row r="32" spans="1:138" ht="15.95" outlineLevel="1">
      <c r="A32" s="474"/>
      <c r="B32" s="609"/>
      <c r="C32" s="294" t="s">
        <v>265</v>
      </c>
      <c r="D32" s="295" t="s">
        <v>245</v>
      </c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>
        <f>-Businessplan_prodej!$F$37/10</f>
        <v>-58722</v>
      </c>
      <c r="T32" s="296">
        <f>-Businessplan_prodej!$F$37/10</f>
        <v>-58722</v>
      </c>
      <c r="U32" s="296">
        <f>-Businessplan_prodej!$F$37/10</f>
        <v>-58722</v>
      </c>
      <c r="V32" s="296">
        <f>-Businessplan_prodej!$F$37/10</f>
        <v>-58722</v>
      </c>
      <c r="W32" s="296">
        <f>-Businessplan_prodej!$F$37/10</f>
        <v>-58722</v>
      </c>
      <c r="X32" s="296">
        <f>-Businessplan_prodej!$F$37/10</f>
        <v>-58722</v>
      </c>
      <c r="Y32" s="296">
        <f>-Businessplan_prodej!$F$37/10</f>
        <v>-58722</v>
      </c>
      <c r="Z32" s="296">
        <f>-Businessplan_prodej!$F$37/10</f>
        <v>-58722</v>
      </c>
      <c r="AA32" s="296">
        <f>-Businessplan_prodej!$F$37/10</f>
        <v>-58722</v>
      </c>
      <c r="AB32" s="296">
        <f>-Businessplan_prodej!$F$37/10</f>
        <v>-58722</v>
      </c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6"/>
      <c r="BN32" s="296"/>
      <c r="BO32" s="296"/>
      <c r="BP32" s="296"/>
      <c r="BQ32" s="296"/>
      <c r="BR32" s="296"/>
      <c r="BS32" s="296"/>
      <c r="BT32" s="296"/>
      <c r="BU32" s="296"/>
      <c r="BV32" s="296"/>
      <c r="BW32" s="296"/>
      <c r="BX32" s="301"/>
      <c r="BY32" s="303">
        <f t="shared" si="14"/>
        <v>-587220</v>
      </c>
      <c r="BZ32" s="599"/>
      <c r="CA32" s="268"/>
      <c r="CB32" s="293" t="e">
        <f t="shared" ca="1" si="15"/>
        <v>#REF!</v>
      </c>
      <c r="CC32" s="599"/>
      <c r="CD32" s="268"/>
      <c r="CE32" s="268"/>
      <c r="CF32" s="268"/>
      <c r="CG32" s="268"/>
      <c r="CH32" s="268"/>
      <c r="CI32" s="268"/>
      <c r="CJ32" s="268"/>
      <c r="CK32" s="268"/>
      <c r="CL32" s="268"/>
      <c r="CM32" s="268"/>
      <c r="CN32" s="268"/>
      <c r="CO32" s="268"/>
      <c r="CP32" s="268"/>
      <c r="CQ32" s="268"/>
      <c r="CR32" s="268"/>
      <c r="CS32" s="268"/>
      <c r="CT32" s="268"/>
      <c r="CU32" s="268"/>
      <c r="CV32" s="268"/>
      <c r="CW32" s="268"/>
      <c r="CX32" s="268"/>
      <c r="CY32" s="268"/>
      <c r="CZ32" s="268"/>
      <c r="DA32" s="268"/>
      <c r="DB32" s="268"/>
      <c r="DC32" s="268"/>
      <c r="DD32" s="268"/>
      <c r="DE32" s="268"/>
      <c r="DF32" s="268"/>
      <c r="DG32" s="268"/>
      <c r="DH32" s="268"/>
      <c r="DI32" s="268"/>
      <c r="DJ32" s="268"/>
      <c r="DK32" s="268"/>
      <c r="DL32" s="268"/>
      <c r="DM32" s="268"/>
      <c r="DN32" s="268"/>
      <c r="DO32" s="268"/>
      <c r="DP32" s="268"/>
      <c r="DQ32" s="268"/>
      <c r="DR32" s="268"/>
      <c r="DS32" s="268"/>
      <c r="DT32" s="268"/>
      <c r="DU32" s="268"/>
      <c r="DV32" s="268"/>
      <c r="DW32" s="268"/>
      <c r="DX32" s="268"/>
      <c r="DY32" s="268"/>
      <c r="DZ32" s="268"/>
      <c r="EA32" s="268"/>
      <c r="EB32" s="268"/>
      <c r="EC32" s="268"/>
      <c r="ED32" s="268"/>
      <c r="EE32" s="268"/>
      <c r="EF32" s="268"/>
      <c r="EG32" s="268"/>
      <c r="EH32" s="268"/>
    </row>
    <row r="33" spans="1:138" ht="15.95" outlineLevel="1">
      <c r="A33" s="474"/>
      <c r="B33" s="609"/>
      <c r="C33" s="304" t="s">
        <v>266</v>
      </c>
      <c r="D33" s="295" t="s">
        <v>245</v>
      </c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  <c r="BP33" s="296"/>
      <c r="BQ33" s="296"/>
      <c r="BR33" s="296"/>
      <c r="BS33" s="296"/>
      <c r="BT33" s="296"/>
      <c r="BU33" s="296"/>
      <c r="BV33" s="296"/>
      <c r="BW33" s="296"/>
      <c r="BX33" s="301"/>
      <c r="BY33" s="303">
        <f t="shared" si="14"/>
        <v>0</v>
      </c>
      <c r="BZ33" s="599"/>
      <c r="CA33" s="268"/>
      <c r="CB33" s="293" t="e">
        <f t="shared" ca="1" si="15"/>
        <v>#REF!</v>
      </c>
      <c r="CC33" s="599"/>
      <c r="CD33" s="268"/>
      <c r="CE33" s="268"/>
      <c r="CF33" s="268"/>
      <c r="CG33" s="268"/>
      <c r="CH33" s="268"/>
      <c r="CI33" s="268"/>
      <c r="CJ33" s="268"/>
      <c r="CK33" s="268"/>
      <c r="CL33" s="268"/>
      <c r="CM33" s="268"/>
      <c r="CN33" s="268"/>
      <c r="CO33" s="268"/>
      <c r="CP33" s="268"/>
      <c r="CQ33" s="268"/>
      <c r="CR33" s="268"/>
      <c r="CS33" s="268"/>
      <c r="CT33" s="268"/>
      <c r="CU33" s="268"/>
      <c r="CV33" s="268"/>
      <c r="CW33" s="268"/>
      <c r="CX33" s="268"/>
      <c r="CY33" s="268"/>
      <c r="CZ33" s="268"/>
      <c r="DA33" s="268"/>
      <c r="DB33" s="268"/>
      <c r="DC33" s="268"/>
      <c r="DD33" s="268"/>
      <c r="DE33" s="268"/>
      <c r="DF33" s="268"/>
      <c r="DG33" s="268"/>
      <c r="DH33" s="268"/>
      <c r="DI33" s="268"/>
      <c r="DJ33" s="268"/>
      <c r="DK33" s="268"/>
      <c r="DL33" s="268"/>
      <c r="DM33" s="268"/>
      <c r="DN33" s="268"/>
      <c r="DO33" s="268"/>
      <c r="DP33" s="268"/>
      <c r="DQ33" s="268"/>
      <c r="DR33" s="268"/>
      <c r="DS33" s="268"/>
      <c r="DT33" s="268"/>
      <c r="DU33" s="268"/>
      <c r="DV33" s="268"/>
      <c r="DW33" s="268"/>
      <c r="DX33" s="268"/>
      <c r="DY33" s="268"/>
      <c r="DZ33" s="268"/>
      <c r="EA33" s="268"/>
      <c r="EB33" s="268"/>
      <c r="EC33" s="268"/>
      <c r="ED33" s="268"/>
      <c r="EE33" s="268"/>
      <c r="EF33" s="268"/>
      <c r="EG33" s="268"/>
      <c r="EH33" s="268"/>
    </row>
    <row r="34" spans="1:138" ht="15.95" outlineLevel="1">
      <c r="A34" s="474"/>
      <c r="B34" s="609"/>
      <c r="C34" s="294" t="s">
        <v>267</v>
      </c>
      <c r="D34" s="298" t="s">
        <v>245</v>
      </c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>
        <f>-Businessplan_prodej!$F$39/9</f>
        <v>-875175.2888888889</v>
      </c>
      <c r="U34" s="296">
        <f>-Businessplan_prodej!$F$39/9</f>
        <v>-875175.2888888889</v>
      </c>
      <c r="V34" s="296">
        <f>-Businessplan_prodej!$F$39/9</f>
        <v>-875175.2888888889</v>
      </c>
      <c r="W34" s="296">
        <f>-Businessplan_prodej!$F$39/9</f>
        <v>-875175.2888888889</v>
      </c>
      <c r="X34" s="296">
        <f>-Businessplan_prodej!$F$39/9</f>
        <v>-875175.2888888889</v>
      </c>
      <c r="Y34" s="296">
        <f>-Businessplan_prodej!$F$39/9</f>
        <v>-875175.2888888889</v>
      </c>
      <c r="Z34" s="296">
        <f>-Businessplan_prodej!$F$39/9</f>
        <v>-875175.2888888889</v>
      </c>
      <c r="AA34" s="296">
        <f>-Businessplan_prodej!$F$39/9</f>
        <v>-875175.2888888889</v>
      </c>
      <c r="AB34" s="296">
        <f>-Businessplan_prodej!$F$39/9</f>
        <v>-875175.2888888889</v>
      </c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  <c r="BP34" s="296"/>
      <c r="BQ34" s="296"/>
      <c r="BR34" s="296"/>
      <c r="BS34" s="296"/>
      <c r="BT34" s="296"/>
      <c r="BU34" s="296"/>
      <c r="BV34" s="296"/>
      <c r="BW34" s="296"/>
      <c r="BX34" s="301"/>
      <c r="BY34" s="305">
        <f t="shared" si="14"/>
        <v>-7876577.5999999978</v>
      </c>
      <c r="BZ34" s="599"/>
      <c r="CA34" s="268"/>
      <c r="CB34" s="293" t="e">
        <f t="shared" ca="1" si="15"/>
        <v>#REF!</v>
      </c>
      <c r="CC34" s="599"/>
      <c r="CD34" s="268"/>
      <c r="CE34" s="268"/>
      <c r="CF34" s="268"/>
      <c r="CG34" s="268"/>
      <c r="CH34" s="268"/>
      <c r="CI34" s="268"/>
      <c r="CJ34" s="268"/>
      <c r="CK34" s="268"/>
      <c r="CL34" s="268"/>
      <c r="CM34" s="268"/>
      <c r="CN34" s="268"/>
      <c r="CO34" s="268"/>
      <c r="CP34" s="268"/>
      <c r="CQ34" s="268"/>
      <c r="CR34" s="268"/>
      <c r="CS34" s="268"/>
      <c r="CT34" s="268"/>
      <c r="CU34" s="268"/>
      <c r="CV34" s="268"/>
      <c r="CW34" s="268"/>
      <c r="CX34" s="268"/>
      <c r="CY34" s="268"/>
      <c r="CZ34" s="268"/>
      <c r="DA34" s="268"/>
      <c r="DB34" s="268"/>
      <c r="DC34" s="268"/>
      <c r="DD34" s="268"/>
      <c r="DE34" s="268"/>
      <c r="DF34" s="268"/>
      <c r="DG34" s="268"/>
      <c r="DH34" s="268"/>
      <c r="DI34" s="268"/>
      <c r="DJ34" s="268"/>
      <c r="DK34" s="268"/>
      <c r="DL34" s="268"/>
      <c r="DM34" s="268"/>
      <c r="DN34" s="268"/>
      <c r="DO34" s="268"/>
      <c r="DP34" s="268"/>
      <c r="DQ34" s="268"/>
      <c r="DR34" s="268"/>
      <c r="DS34" s="268"/>
      <c r="DT34" s="268"/>
      <c r="DU34" s="268"/>
      <c r="DV34" s="268"/>
      <c r="DW34" s="268"/>
      <c r="DX34" s="268"/>
      <c r="DY34" s="268"/>
      <c r="DZ34" s="268"/>
      <c r="EA34" s="268"/>
      <c r="EB34" s="268"/>
      <c r="EC34" s="268"/>
      <c r="ED34" s="268"/>
      <c r="EE34" s="268"/>
      <c r="EF34" s="268"/>
      <c r="EG34" s="268"/>
      <c r="EH34" s="268"/>
    </row>
    <row r="35" spans="1:138" ht="15.95">
      <c r="A35" s="474"/>
      <c r="B35" s="609"/>
      <c r="C35" s="289" t="s">
        <v>268</v>
      </c>
      <c r="D35" s="290"/>
      <c r="E35" s="291">
        <f t="shared" ref="E35:BX35" si="16">SUM(E36:E37)</f>
        <v>0</v>
      </c>
      <c r="F35" s="291">
        <f t="shared" si="16"/>
        <v>0</v>
      </c>
      <c r="G35" s="291">
        <f t="shared" si="16"/>
        <v>0</v>
      </c>
      <c r="H35" s="291">
        <f t="shared" si="16"/>
        <v>0</v>
      </c>
      <c r="I35" s="291">
        <f t="shared" si="16"/>
        <v>0</v>
      </c>
      <c r="J35" s="291">
        <f t="shared" si="16"/>
        <v>0</v>
      </c>
      <c r="K35" s="291">
        <f t="shared" si="16"/>
        <v>0</v>
      </c>
      <c r="L35" s="291">
        <f t="shared" si="16"/>
        <v>0</v>
      </c>
      <c r="M35" s="291">
        <f t="shared" si="16"/>
        <v>0</v>
      </c>
      <c r="N35" s="291">
        <f t="shared" si="16"/>
        <v>0</v>
      </c>
      <c r="O35" s="291">
        <f t="shared" si="16"/>
        <v>0</v>
      </c>
      <c r="P35" s="291">
        <f t="shared" si="16"/>
        <v>0</v>
      </c>
      <c r="Q35" s="291">
        <f t="shared" si="16"/>
        <v>0</v>
      </c>
      <c r="R35" s="291">
        <f t="shared" si="16"/>
        <v>0</v>
      </c>
      <c r="S35" s="291">
        <f t="shared" si="16"/>
        <v>0</v>
      </c>
      <c r="T35" s="291">
        <f t="shared" si="16"/>
        <v>0</v>
      </c>
      <c r="U35" s="291">
        <f t="shared" si="16"/>
        <v>0</v>
      </c>
      <c r="V35" s="291">
        <f t="shared" si="16"/>
        <v>0</v>
      </c>
      <c r="W35" s="291">
        <f t="shared" si="16"/>
        <v>0</v>
      </c>
      <c r="X35" s="291">
        <f t="shared" si="16"/>
        <v>0</v>
      </c>
      <c r="Y35" s="291">
        <f t="shared" si="16"/>
        <v>0</v>
      </c>
      <c r="Z35" s="291">
        <f t="shared" si="16"/>
        <v>0</v>
      </c>
      <c r="AA35" s="291">
        <f t="shared" si="16"/>
        <v>0</v>
      </c>
      <c r="AB35" s="291">
        <f t="shared" si="16"/>
        <v>0</v>
      </c>
      <c r="AC35" s="291">
        <f t="shared" si="16"/>
        <v>0</v>
      </c>
      <c r="AD35" s="291">
        <f t="shared" si="16"/>
        <v>0</v>
      </c>
      <c r="AE35" s="291">
        <f t="shared" si="16"/>
        <v>0</v>
      </c>
      <c r="AF35" s="291">
        <f t="shared" si="16"/>
        <v>0</v>
      </c>
      <c r="AG35" s="291">
        <f t="shared" si="16"/>
        <v>0</v>
      </c>
      <c r="AH35" s="291">
        <f t="shared" si="16"/>
        <v>0</v>
      </c>
      <c r="AI35" s="291">
        <f t="shared" si="16"/>
        <v>0</v>
      </c>
      <c r="AJ35" s="291">
        <f t="shared" si="16"/>
        <v>0</v>
      </c>
      <c r="AK35" s="291">
        <f t="shared" si="16"/>
        <v>0</v>
      </c>
      <c r="AL35" s="291">
        <f t="shared" si="16"/>
        <v>0</v>
      </c>
      <c r="AM35" s="291">
        <f t="shared" si="16"/>
        <v>0</v>
      </c>
      <c r="AN35" s="291">
        <f t="shared" si="16"/>
        <v>0</v>
      </c>
      <c r="AO35" s="291">
        <f t="shared" si="16"/>
        <v>0</v>
      </c>
      <c r="AP35" s="291">
        <f t="shared" si="16"/>
        <v>0</v>
      </c>
      <c r="AQ35" s="291">
        <f t="shared" si="16"/>
        <v>0</v>
      </c>
      <c r="AR35" s="291">
        <f t="shared" si="16"/>
        <v>0</v>
      </c>
      <c r="AS35" s="291">
        <f t="shared" si="16"/>
        <v>0</v>
      </c>
      <c r="AT35" s="291">
        <f t="shared" si="16"/>
        <v>0</v>
      </c>
      <c r="AU35" s="291">
        <f t="shared" si="16"/>
        <v>0</v>
      </c>
      <c r="AV35" s="291">
        <f t="shared" si="16"/>
        <v>0</v>
      </c>
      <c r="AW35" s="291">
        <f t="shared" si="16"/>
        <v>0</v>
      </c>
      <c r="AX35" s="291">
        <f t="shared" si="16"/>
        <v>0</v>
      </c>
      <c r="AY35" s="291">
        <f t="shared" si="16"/>
        <v>0</v>
      </c>
      <c r="AZ35" s="291">
        <f t="shared" si="16"/>
        <v>0</v>
      </c>
      <c r="BA35" s="291">
        <f t="shared" si="16"/>
        <v>0</v>
      </c>
      <c r="BB35" s="291">
        <f t="shared" si="16"/>
        <v>0</v>
      </c>
      <c r="BC35" s="291">
        <f t="shared" si="16"/>
        <v>0</v>
      </c>
      <c r="BD35" s="291">
        <f t="shared" si="16"/>
        <v>0</v>
      </c>
      <c r="BE35" s="291">
        <f t="shared" si="16"/>
        <v>0</v>
      </c>
      <c r="BF35" s="291">
        <f t="shared" si="16"/>
        <v>0</v>
      </c>
      <c r="BG35" s="291">
        <f t="shared" si="16"/>
        <v>0</v>
      </c>
      <c r="BH35" s="291">
        <f t="shared" si="16"/>
        <v>0</v>
      </c>
      <c r="BI35" s="291">
        <f t="shared" si="16"/>
        <v>0</v>
      </c>
      <c r="BJ35" s="291">
        <f t="shared" si="16"/>
        <v>0</v>
      </c>
      <c r="BK35" s="291">
        <f t="shared" si="16"/>
        <v>0</v>
      </c>
      <c r="BL35" s="291">
        <f t="shared" si="16"/>
        <v>0</v>
      </c>
      <c r="BM35" s="291">
        <f t="shared" si="16"/>
        <v>0</v>
      </c>
      <c r="BN35" s="291">
        <f t="shared" si="16"/>
        <v>0</v>
      </c>
      <c r="BO35" s="291">
        <f t="shared" si="16"/>
        <v>0</v>
      </c>
      <c r="BP35" s="291">
        <f t="shared" si="16"/>
        <v>0</v>
      </c>
      <c r="BQ35" s="291">
        <f t="shared" si="16"/>
        <v>0</v>
      </c>
      <c r="BR35" s="291">
        <f t="shared" si="16"/>
        <v>0</v>
      </c>
      <c r="BS35" s="291">
        <f t="shared" si="16"/>
        <v>0</v>
      </c>
      <c r="BT35" s="291">
        <f t="shared" si="16"/>
        <v>0</v>
      </c>
      <c r="BU35" s="291">
        <f t="shared" si="16"/>
        <v>0</v>
      </c>
      <c r="BV35" s="291">
        <f t="shared" si="16"/>
        <v>0</v>
      </c>
      <c r="BW35" s="291">
        <f t="shared" si="16"/>
        <v>0</v>
      </c>
      <c r="BX35" s="291">
        <f t="shared" si="16"/>
        <v>0</v>
      </c>
      <c r="BY35" s="293">
        <f>SUM(BY36:BY37)</f>
        <v>0</v>
      </c>
      <c r="BZ35" s="599"/>
      <c r="CA35" s="268"/>
      <c r="CB35" s="293" t="e">
        <f t="array" aca="1" ref="CB35" ca="1">SUM(INDEX(E35:BX35, , 1):INDEX(E35:BX35, ,MATCH($CB$4, $E$3:$BX$3,0) ))</f>
        <v>#N/A</v>
      </c>
      <c r="CC35" s="599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68"/>
      <c r="DH35" s="268"/>
      <c r="DI35" s="268"/>
      <c r="DJ35" s="268"/>
      <c r="DK35" s="268"/>
      <c r="DL35" s="268"/>
      <c r="DM35" s="268"/>
      <c r="DN35" s="268"/>
      <c r="DO35" s="268"/>
      <c r="DP35" s="268"/>
      <c r="DQ35" s="268"/>
      <c r="DR35" s="268"/>
      <c r="DS35" s="268"/>
      <c r="DT35" s="268"/>
      <c r="DU35" s="268"/>
      <c r="DV35" s="268"/>
      <c r="DW35" s="268"/>
      <c r="DX35" s="268"/>
      <c r="DY35" s="268"/>
      <c r="DZ35" s="268"/>
      <c r="EA35" s="268"/>
      <c r="EB35" s="268"/>
      <c r="EC35" s="268"/>
      <c r="ED35" s="268"/>
      <c r="EE35" s="268"/>
      <c r="EF35" s="268"/>
      <c r="EG35" s="268"/>
      <c r="EH35" s="268"/>
    </row>
    <row r="36" spans="1:138" ht="15.95" outlineLevel="1">
      <c r="A36" s="474"/>
      <c r="B36" s="609"/>
      <c r="C36" s="294" t="s">
        <v>269</v>
      </c>
      <c r="D36" s="295" t="s">
        <v>245</v>
      </c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30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6"/>
      <c r="BN36" s="296"/>
      <c r="BO36" s="296"/>
      <c r="BP36" s="296"/>
      <c r="BQ36" s="296"/>
      <c r="BR36" s="296"/>
      <c r="BS36" s="296"/>
      <c r="BT36" s="296"/>
      <c r="BU36" s="296"/>
      <c r="BV36" s="296"/>
      <c r="BW36" s="296"/>
      <c r="BX36" s="301"/>
      <c r="BY36" s="302">
        <f t="shared" ref="BY36:BY37" si="17">SUM(E36:BX36)</f>
        <v>0</v>
      </c>
      <c r="BZ36" s="599"/>
      <c r="CA36" s="268"/>
      <c r="CB36" s="293" t="e">
        <f t="shared" ref="CB36:CB37" ca="1" si="18">SUM(INDEX(AC36:BX36, , 1):INDEX(AC36:BX36, ,MATCH(#REF!, $E$3:$BX$3,0) ))</f>
        <v>#REF!</v>
      </c>
      <c r="CC36" s="599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68"/>
      <c r="DH36" s="268"/>
      <c r="DI36" s="268"/>
      <c r="DJ36" s="268"/>
      <c r="DK36" s="268"/>
      <c r="DL36" s="268"/>
      <c r="DM36" s="268"/>
      <c r="DN36" s="268"/>
      <c r="DO36" s="268"/>
      <c r="DP36" s="268"/>
      <c r="DQ36" s="268"/>
      <c r="DR36" s="268"/>
      <c r="DS36" s="268"/>
      <c r="DT36" s="268"/>
      <c r="DU36" s="268"/>
      <c r="DV36" s="268"/>
      <c r="DW36" s="268"/>
      <c r="DX36" s="268"/>
      <c r="DY36" s="268"/>
      <c r="DZ36" s="268"/>
      <c r="EA36" s="268"/>
      <c r="EB36" s="268"/>
      <c r="EC36" s="268"/>
      <c r="ED36" s="268"/>
      <c r="EE36" s="268"/>
      <c r="EF36" s="268"/>
      <c r="EG36" s="268"/>
      <c r="EH36" s="268"/>
    </row>
    <row r="37" spans="1:138" ht="15.95" outlineLevel="1">
      <c r="A37" s="474"/>
      <c r="B37" s="609"/>
      <c r="C37" s="294" t="s">
        <v>270</v>
      </c>
      <c r="D37" s="298" t="s">
        <v>245</v>
      </c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30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  <c r="BQ37" s="296"/>
      <c r="BR37" s="296"/>
      <c r="BS37" s="296"/>
      <c r="BT37" s="296"/>
      <c r="BU37" s="296"/>
      <c r="BV37" s="296"/>
      <c r="BW37" s="296"/>
      <c r="BX37" s="301"/>
      <c r="BY37" s="305">
        <f t="shared" si="17"/>
        <v>0</v>
      </c>
      <c r="BZ37" s="599"/>
      <c r="CA37" s="268"/>
      <c r="CB37" s="293" t="e">
        <f t="shared" ca="1" si="18"/>
        <v>#REF!</v>
      </c>
      <c r="CC37" s="599"/>
      <c r="CD37" s="268"/>
      <c r="CE37" s="268"/>
      <c r="CF37" s="268"/>
      <c r="CG37" s="268"/>
      <c r="CH37" s="268"/>
      <c r="CI37" s="268"/>
      <c r="CJ37" s="268"/>
      <c r="CK37" s="268"/>
      <c r="CL37" s="268"/>
      <c r="CM37" s="268"/>
      <c r="CN37" s="268"/>
      <c r="CO37" s="268"/>
      <c r="CP37" s="268"/>
      <c r="CQ37" s="268"/>
      <c r="CR37" s="268"/>
      <c r="CS37" s="268"/>
      <c r="CT37" s="268"/>
      <c r="CU37" s="268"/>
      <c r="CV37" s="268"/>
      <c r="CW37" s="268"/>
      <c r="CX37" s="268"/>
      <c r="CY37" s="268"/>
      <c r="CZ37" s="268"/>
      <c r="DA37" s="268"/>
      <c r="DB37" s="268"/>
      <c r="DC37" s="268"/>
      <c r="DD37" s="268"/>
      <c r="DE37" s="268"/>
      <c r="DF37" s="268"/>
      <c r="DG37" s="268"/>
      <c r="DH37" s="268"/>
      <c r="DI37" s="268"/>
      <c r="DJ37" s="268"/>
      <c r="DK37" s="268"/>
      <c r="DL37" s="268"/>
      <c r="DM37" s="268"/>
      <c r="DN37" s="268"/>
      <c r="DO37" s="268"/>
      <c r="DP37" s="268"/>
      <c r="DQ37" s="268"/>
      <c r="DR37" s="268"/>
      <c r="DS37" s="268"/>
      <c r="DT37" s="268"/>
      <c r="DU37" s="268"/>
      <c r="DV37" s="268"/>
      <c r="DW37" s="268"/>
      <c r="DX37" s="268"/>
      <c r="DY37" s="268"/>
      <c r="DZ37" s="268"/>
      <c r="EA37" s="268"/>
      <c r="EB37" s="268"/>
      <c r="EC37" s="268"/>
      <c r="ED37" s="268"/>
      <c r="EE37" s="268"/>
      <c r="EF37" s="268"/>
      <c r="EG37" s="268"/>
      <c r="EH37" s="268"/>
    </row>
    <row r="38" spans="1:138" ht="15.95">
      <c r="A38" s="474"/>
      <c r="B38" s="609"/>
      <c r="C38" s="289" t="s">
        <v>271</v>
      </c>
      <c r="D38" s="290"/>
      <c r="E38" s="291">
        <f t="shared" ref="E38:BX38" si="19">SUM(E39:E47)</f>
        <v>0</v>
      </c>
      <c r="F38" s="291">
        <f t="shared" si="19"/>
        <v>0</v>
      </c>
      <c r="G38" s="291">
        <f t="shared" si="19"/>
        <v>0</v>
      </c>
      <c r="H38" s="291">
        <f t="shared" si="19"/>
        <v>0</v>
      </c>
      <c r="I38" s="291">
        <f t="shared" si="19"/>
        <v>0</v>
      </c>
      <c r="J38" s="291">
        <f t="shared" si="19"/>
        <v>0</v>
      </c>
      <c r="K38" s="291">
        <f t="shared" si="19"/>
        <v>0</v>
      </c>
      <c r="L38" s="291">
        <f t="shared" si="19"/>
        <v>0</v>
      </c>
      <c r="M38" s="291">
        <f t="shared" si="19"/>
        <v>0</v>
      </c>
      <c r="N38" s="291">
        <f t="shared" si="19"/>
        <v>0</v>
      </c>
      <c r="O38" s="291">
        <f t="shared" si="19"/>
        <v>0</v>
      </c>
      <c r="P38" s="291">
        <f t="shared" si="19"/>
        <v>0</v>
      </c>
      <c r="Q38" s="291">
        <f t="shared" si="19"/>
        <v>0</v>
      </c>
      <c r="R38" s="291">
        <f t="shared" si="19"/>
        <v>0</v>
      </c>
      <c r="S38" s="291" t="e">
        <f t="shared" si="19"/>
        <v>#REF!</v>
      </c>
      <c r="T38" s="291" t="e">
        <f t="shared" si="19"/>
        <v>#REF!</v>
      </c>
      <c r="U38" s="291" t="e">
        <f t="shared" si="19"/>
        <v>#REF!</v>
      </c>
      <c r="V38" s="291" t="e">
        <f t="shared" si="19"/>
        <v>#REF!</v>
      </c>
      <c r="W38" s="291" t="e">
        <f t="shared" si="19"/>
        <v>#REF!</v>
      </c>
      <c r="X38" s="291" t="e">
        <f t="shared" si="19"/>
        <v>#REF!</v>
      </c>
      <c r="Y38" s="291" t="e">
        <f t="shared" si="19"/>
        <v>#REF!</v>
      </c>
      <c r="Z38" s="291" t="e">
        <f t="shared" si="19"/>
        <v>#REF!</v>
      </c>
      <c r="AA38" s="291" t="e">
        <f t="shared" si="19"/>
        <v>#REF!</v>
      </c>
      <c r="AB38" s="291" t="e">
        <f t="shared" si="19"/>
        <v>#REF!</v>
      </c>
      <c r="AC38" s="291">
        <f t="shared" si="19"/>
        <v>-140167.27865454546</v>
      </c>
      <c r="AD38" s="291">
        <f t="shared" si="19"/>
        <v>0</v>
      </c>
      <c r="AE38" s="291">
        <f t="shared" si="19"/>
        <v>0</v>
      </c>
      <c r="AF38" s="291">
        <f t="shared" si="19"/>
        <v>0</v>
      </c>
      <c r="AG38" s="291">
        <f t="shared" si="19"/>
        <v>0</v>
      </c>
      <c r="AH38" s="291">
        <f t="shared" si="19"/>
        <v>0</v>
      </c>
      <c r="AI38" s="291">
        <f t="shared" si="19"/>
        <v>0</v>
      </c>
      <c r="AJ38" s="291">
        <f t="shared" si="19"/>
        <v>0</v>
      </c>
      <c r="AK38" s="291">
        <f t="shared" si="19"/>
        <v>0</v>
      </c>
      <c r="AL38" s="291">
        <f t="shared" si="19"/>
        <v>0</v>
      </c>
      <c r="AM38" s="291">
        <f t="shared" si="19"/>
        <v>0</v>
      </c>
      <c r="AN38" s="291">
        <f t="shared" si="19"/>
        <v>0</v>
      </c>
      <c r="AO38" s="291">
        <f t="shared" si="19"/>
        <v>0</v>
      </c>
      <c r="AP38" s="291">
        <f t="shared" si="19"/>
        <v>0</v>
      </c>
      <c r="AQ38" s="291">
        <f t="shared" si="19"/>
        <v>0</v>
      </c>
      <c r="AR38" s="291">
        <f t="shared" si="19"/>
        <v>0</v>
      </c>
      <c r="AS38" s="291">
        <f t="shared" si="19"/>
        <v>0</v>
      </c>
      <c r="AT38" s="291">
        <f t="shared" si="19"/>
        <v>0</v>
      </c>
      <c r="AU38" s="291">
        <f t="shared" si="19"/>
        <v>0</v>
      </c>
      <c r="AV38" s="291">
        <f t="shared" si="19"/>
        <v>0</v>
      </c>
      <c r="AW38" s="291">
        <f t="shared" si="19"/>
        <v>0</v>
      </c>
      <c r="AX38" s="291">
        <f t="shared" si="19"/>
        <v>0</v>
      </c>
      <c r="AY38" s="291">
        <f t="shared" si="19"/>
        <v>0</v>
      </c>
      <c r="AZ38" s="291">
        <f t="shared" si="19"/>
        <v>0</v>
      </c>
      <c r="BA38" s="291">
        <f t="shared" si="19"/>
        <v>0</v>
      </c>
      <c r="BB38" s="291">
        <f t="shared" si="19"/>
        <v>0</v>
      </c>
      <c r="BC38" s="291">
        <f t="shared" si="19"/>
        <v>0</v>
      </c>
      <c r="BD38" s="291">
        <f t="shared" si="19"/>
        <v>0</v>
      </c>
      <c r="BE38" s="291">
        <f t="shared" si="19"/>
        <v>0</v>
      </c>
      <c r="BF38" s="291">
        <f t="shared" si="19"/>
        <v>0</v>
      </c>
      <c r="BG38" s="291">
        <f t="shared" si="19"/>
        <v>0</v>
      </c>
      <c r="BH38" s="291">
        <f t="shared" si="19"/>
        <v>0</v>
      </c>
      <c r="BI38" s="291">
        <f t="shared" si="19"/>
        <v>0</v>
      </c>
      <c r="BJ38" s="291">
        <f t="shared" si="19"/>
        <v>0</v>
      </c>
      <c r="BK38" s="291">
        <f t="shared" si="19"/>
        <v>0</v>
      </c>
      <c r="BL38" s="291">
        <f t="shared" si="19"/>
        <v>0</v>
      </c>
      <c r="BM38" s="291">
        <f t="shared" si="19"/>
        <v>0</v>
      </c>
      <c r="BN38" s="291">
        <f t="shared" si="19"/>
        <v>0</v>
      </c>
      <c r="BO38" s="291">
        <f t="shared" si="19"/>
        <v>0</v>
      </c>
      <c r="BP38" s="291">
        <f t="shared" si="19"/>
        <v>0</v>
      </c>
      <c r="BQ38" s="291">
        <f t="shared" si="19"/>
        <v>0</v>
      </c>
      <c r="BR38" s="291">
        <f t="shared" si="19"/>
        <v>0</v>
      </c>
      <c r="BS38" s="291">
        <f t="shared" si="19"/>
        <v>0</v>
      </c>
      <c r="BT38" s="291">
        <f t="shared" si="19"/>
        <v>0</v>
      </c>
      <c r="BU38" s="291">
        <f t="shared" si="19"/>
        <v>0</v>
      </c>
      <c r="BV38" s="291">
        <f t="shared" si="19"/>
        <v>0</v>
      </c>
      <c r="BW38" s="291">
        <f t="shared" si="19"/>
        <v>0</v>
      </c>
      <c r="BX38" s="291">
        <f t="shared" si="19"/>
        <v>0</v>
      </c>
      <c r="BY38" s="293" t="e">
        <f>SUM(BY39:BY47)</f>
        <v>#REF!</v>
      </c>
      <c r="BZ38" s="599"/>
      <c r="CA38" s="268"/>
      <c r="CB38" s="293" t="e">
        <f t="array" aca="1" ref="CB38" ca="1">SUM(INDEX(E38:BX38, , 1):INDEX(E38:BX38, ,MATCH($CB$4, $E$3:$BX$3,0) ))</f>
        <v>#N/A</v>
      </c>
      <c r="CC38" s="599"/>
      <c r="CD38" s="268"/>
      <c r="CE38" s="268"/>
      <c r="CF38" s="268"/>
      <c r="CG38" s="268"/>
      <c r="CH38" s="268"/>
      <c r="CI38" s="268"/>
      <c r="CJ38" s="268"/>
      <c r="CK38" s="268"/>
      <c r="CL38" s="268"/>
      <c r="CM38" s="268"/>
      <c r="CN38" s="268"/>
      <c r="CO38" s="268"/>
      <c r="CP38" s="268"/>
      <c r="CQ38" s="268"/>
      <c r="CR38" s="268"/>
      <c r="CS38" s="268"/>
      <c r="CT38" s="268"/>
      <c r="CU38" s="268"/>
      <c r="CV38" s="268"/>
      <c r="CW38" s="268"/>
      <c r="CX38" s="268"/>
      <c r="CY38" s="268"/>
      <c r="CZ38" s="268"/>
      <c r="DA38" s="268"/>
      <c r="DB38" s="268"/>
      <c r="DC38" s="268"/>
      <c r="DD38" s="268"/>
      <c r="DE38" s="268"/>
      <c r="DF38" s="268"/>
      <c r="DG38" s="268"/>
      <c r="DH38" s="268"/>
      <c r="DI38" s="268"/>
      <c r="DJ38" s="268"/>
      <c r="DK38" s="268"/>
      <c r="DL38" s="268"/>
      <c r="DM38" s="268"/>
      <c r="DN38" s="268"/>
      <c r="DO38" s="268"/>
      <c r="DP38" s="268"/>
      <c r="DQ38" s="268"/>
      <c r="DR38" s="268"/>
      <c r="DS38" s="268"/>
      <c r="DT38" s="268"/>
      <c r="DU38" s="268"/>
      <c r="DV38" s="268"/>
      <c r="DW38" s="268"/>
      <c r="DX38" s="268"/>
      <c r="DY38" s="268"/>
      <c r="DZ38" s="268"/>
      <c r="EA38" s="268"/>
      <c r="EB38" s="268"/>
      <c r="EC38" s="268"/>
      <c r="ED38" s="268"/>
      <c r="EE38" s="268"/>
      <c r="EF38" s="268"/>
      <c r="EG38" s="268"/>
      <c r="EH38" s="268"/>
    </row>
    <row r="39" spans="1:138" ht="15.95" outlineLevel="1">
      <c r="A39" s="474"/>
      <c r="B39" s="609"/>
      <c r="C39" s="304" t="s">
        <v>272</v>
      </c>
      <c r="D39" s="295" t="s">
        <v>245</v>
      </c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307">
        <f>-Businessplan_prodej!$F$54/10</f>
        <v>-217296</v>
      </c>
      <c r="T39" s="307">
        <f>-Businessplan_prodej!$F$54/10</f>
        <v>-217296</v>
      </c>
      <c r="U39" s="307">
        <f>-Businessplan_prodej!$F$54/10</f>
        <v>-217296</v>
      </c>
      <c r="V39" s="307">
        <f>-Businessplan_prodej!$F$54/10</f>
        <v>-217296</v>
      </c>
      <c r="W39" s="307">
        <f>-Businessplan_prodej!$F$54/10</f>
        <v>-217296</v>
      </c>
      <c r="X39" s="307">
        <f>-Businessplan_prodej!$F$54/10</f>
        <v>-217296</v>
      </c>
      <c r="Y39" s="307">
        <f>-Businessplan_prodej!$F$54/10</f>
        <v>-217296</v>
      </c>
      <c r="Z39" s="307">
        <f>-Businessplan_prodej!$F$54/10</f>
        <v>-217296</v>
      </c>
      <c r="AA39" s="307">
        <f>-Businessplan_prodej!$F$54/10</f>
        <v>-217296</v>
      </c>
      <c r="AB39" s="307">
        <f>-Businessplan_prodej!$F$54/10</f>
        <v>-217296</v>
      </c>
      <c r="AC39" s="299"/>
      <c r="AD39" s="299"/>
      <c r="AE39" s="299"/>
      <c r="AF39" s="299"/>
      <c r="AG39" s="299"/>
      <c r="AH39" s="299"/>
      <c r="AI39" s="299"/>
      <c r="AJ39" s="299"/>
      <c r="AK39" s="299"/>
      <c r="AL39" s="299"/>
      <c r="AM39" s="299"/>
      <c r="AN39" s="299"/>
      <c r="AO39" s="299"/>
      <c r="AP39" s="299"/>
      <c r="AQ39" s="299"/>
      <c r="AR39" s="299"/>
      <c r="AS39" s="299"/>
      <c r="AT39" s="299"/>
      <c r="AU39" s="299"/>
      <c r="AV39" s="299"/>
      <c r="AW39" s="299"/>
      <c r="AX39" s="299"/>
      <c r="AY39" s="299"/>
      <c r="AZ39" s="299"/>
      <c r="BA39" s="299"/>
      <c r="BB39" s="299"/>
      <c r="BC39" s="299"/>
      <c r="BD39" s="299"/>
      <c r="BE39" s="299"/>
      <c r="BF39" s="299"/>
      <c r="BG39" s="299"/>
      <c r="BH39" s="299"/>
      <c r="BI39" s="299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  <c r="BU39" s="299"/>
      <c r="BV39" s="299"/>
      <c r="BW39" s="299"/>
      <c r="BX39" s="308"/>
      <c r="BY39" s="302">
        <f t="shared" ref="BY39:BY46" si="20">SUM(E39:BX39)</f>
        <v>-2172960</v>
      </c>
      <c r="BZ39" s="599"/>
      <c r="CA39" s="268"/>
      <c r="CB39" s="293" t="e">
        <f t="shared" ref="CB39:CB41" ca="1" si="21">SUM(INDEX(AC39:BX39, , 1):INDEX(AC39:BX39, ,MATCH(#REF!, $E$3:$BX$3,0) ))</f>
        <v>#REF!</v>
      </c>
      <c r="CC39" s="599"/>
      <c r="CD39" s="268"/>
      <c r="CE39" s="268"/>
      <c r="CF39" s="268"/>
      <c r="CG39" s="268"/>
      <c r="CH39" s="268"/>
      <c r="CI39" s="268"/>
      <c r="CJ39" s="268"/>
      <c r="CK39" s="268"/>
      <c r="CL39" s="268"/>
      <c r="CM39" s="268"/>
      <c r="CN39" s="268"/>
      <c r="CO39" s="268"/>
      <c r="CP39" s="268"/>
      <c r="CQ39" s="268"/>
      <c r="CR39" s="268"/>
      <c r="CS39" s="268"/>
      <c r="CT39" s="268"/>
      <c r="CU39" s="268"/>
      <c r="CV39" s="268"/>
      <c r="CW39" s="268"/>
      <c r="CX39" s="268"/>
      <c r="CY39" s="268"/>
      <c r="CZ39" s="268"/>
      <c r="DA39" s="268"/>
      <c r="DB39" s="268"/>
      <c r="DC39" s="268"/>
      <c r="DD39" s="268"/>
      <c r="DE39" s="268"/>
      <c r="DF39" s="268"/>
      <c r="DG39" s="268"/>
      <c r="DH39" s="268"/>
      <c r="DI39" s="268"/>
      <c r="DJ39" s="268"/>
      <c r="DK39" s="268"/>
      <c r="DL39" s="268"/>
      <c r="DM39" s="268"/>
      <c r="DN39" s="268"/>
      <c r="DO39" s="268"/>
      <c r="DP39" s="268"/>
      <c r="DQ39" s="268"/>
      <c r="DR39" s="268"/>
      <c r="DS39" s="268"/>
      <c r="DT39" s="268"/>
      <c r="DU39" s="268"/>
      <c r="DV39" s="268"/>
      <c r="DW39" s="268"/>
      <c r="DX39" s="268"/>
      <c r="DY39" s="268"/>
      <c r="DZ39" s="268"/>
      <c r="EA39" s="268"/>
      <c r="EB39" s="268"/>
      <c r="EC39" s="268"/>
      <c r="ED39" s="268"/>
      <c r="EE39" s="268"/>
      <c r="EF39" s="268"/>
      <c r="EG39" s="268"/>
      <c r="EH39" s="268"/>
    </row>
    <row r="40" spans="1:138" ht="15.95" outlineLevel="1">
      <c r="A40" s="474"/>
      <c r="B40" s="609"/>
      <c r="C40" s="304" t="s">
        <v>273</v>
      </c>
      <c r="D40" s="295" t="s">
        <v>245</v>
      </c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307" t="e">
        <f>-Businessplan_prodej!#REF!-Businessplan_prodej!#REF!/10-Businessplan_prodej!F56</f>
        <v>#REF!</v>
      </c>
      <c r="T40" s="299" t="e">
        <f>-SUM(Businessplan_prodej!$F$61+Businessplan_prodej!#REF!)/9</f>
        <v>#REF!</v>
      </c>
      <c r="U40" s="299" t="e">
        <f>-SUM(Businessplan_prodej!$F$61+Businessplan_prodej!#REF!)/9</f>
        <v>#REF!</v>
      </c>
      <c r="V40" s="299" t="e">
        <f>-SUM(Businessplan_prodej!$F$61+Businessplan_prodej!#REF!)/9</f>
        <v>#REF!</v>
      </c>
      <c r="W40" s="299" t="e">
        <f>-SUM(Businessplan_prodej!$F$61+Businessplan_prodej!#REF!)/9</f>
        <v>#REF!</v>
      </c>
      <c r="X40" s="299" t="e">
        <f>-SUM(Businessplan_prodej!$F$61+Businessplan_prodej!#REF!)/9</f>
        <v>#REF!</v>
      </c>
      <c r="Y40" s="299" t="e">
        <f>-SUM(Businessplan_prodej!$F$61+Businessplan_prodej!#REF!)/9</f>
        <v>#REF!</v>
      </c>
      <c r="Z40" s="299" t="e">
        <f>-SUM(Businessplan_prodej!$F$61+Businessplan_prodej!#REF!)/9</f>
        <v>#REF!</v>
      </c>
      <c r="AA40" s="299" t="e">
        <f>-SUM(Businessplan_prodej!$F$61+Businessplan_prodej!#REF!)/9</f>
        <v>#REF!</v>
      </c>
      <c r="AB40" s="299" t="e">
        <f>-SUM(Businessplan_prodej!$F$61+Businessplan_prodej!#REF!)/9</f>
        <v>#REF!</v>
      </c>
      <c r="AC40" s="299"/>
      <c r="AD40" s="299"/>
      <c r="AE40" s="299"/>
      <c r="AF40" s="299"/>
      <c r="AG40" s="299"/>
      <c r="AH40" s="299"/>
      <c r="AI40" s="299"/>
      <c r="AJ40" s="299"/>
      <c r="AK40" s="299"/>
      <c r="AL40" s="299"/>
      <c r="AM40" s="299"/>
      <c r="AN40" s="299"/>
      <c r="AO40" s="299"/>
      <c r="AP40" s="299"/>
      <c r="AQ40" s="299"/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299"/>
      <c r="BF40" s="299"/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  <c r="BU40" s="299"/>
      <c r="BV40" s="299"/>
      <c r="BW40" s="299"/>
      <c r="BX40" s="308"/>
      <c r="BY40" s="303" t="e">
        <f t="shared" si="20"/>
        <v>#REF!</v>
      </c>
      <c r="BZ40" s="599"/>
      <c r="CA40" s="268"/>
      <c r="CB40" s="293" t="e">
        <f t="shared" ca="1" si="21"/>
        <v>#REF!</v>
      </c>
      <c r="CC40" s="599"/>
      <c r="CD40" s="268"/>
      <c r="CE40" s="268"/>
      <c r="CF40" s="268"/>
      <c r="CG40" s="268"/>
      <c r="CH40" s="268"/>
      <c r="CI40" s="268"/>
      <c r="CJ40" s="268"/>
      <c r="CK40" s="268"/>
      <c r="CL40" s="268"/>
      <c r="CM40" s="268"/>
      <c r="CN40" s="268"/>
      <c r="CO40" s="268"/>
      <c r="CP40" s="268"/>
      <c r="CQ40" s="268"/>
      <c r="CR40" s="268"/>
      <c r="CS40" s="268"/>
      <c r="CT40" s="268"/>
      <c r="CU40" s="268"/>
      <c r="CV40" s="268"/>
      <c r="CW40" s="268"/>
      <c r="CX40" s="268"/>
      <c r="CY40" s="268"/>
      <c r="CZ40" s="268"/>
      <c r="DA40" s="268"/>
      <c r="DB40" s="268"/>
      <c r="DC40" s="268"/>
      <c r="DD40" s="268"/>
      <c r="DE40" s="268"/>
      <c r="DF40" s="268"/>
      <c r="DG40" s="268"/>
      <c r="DH40" s="268"/>
      <c r="DI40" s="268"/>
      <c r="DJ40" s="268"/>
      <c r="DK40" s="268"/>
      <c r="DL40" s="268"/>
      <c r="DM40" s="268"/>
      <c r="DN40" s="268"/>
      <c r="DO40" s="268"/>
      <c r="DP40" s="268"/>
      <c r="DQ40" s="268"/>
      <c r="DR40" s="268"/>
      <c r="DS40" s="268"/>
      <c r="DT40" s="268"/>
      <c r="DU40" s="268"/>
      <c r="DV40" s="268"/>
      <c r="DW40" s="268"/>
      <c r="DX40" s="268"/>
      <c r="DY40" s="268"/>
      <c r="DZ40" s="268"/>
      <c r="EA40" s="268"/>
      <c r="EB40" s="268"/>
      <c r="EC40" s="268"/>
      <c r="ED40" s="268"/>
      <c r="EE40" s="268"/>
      <c r="EF40" s="268"/>
      <c r="EG40" s="268"/>
      <c r="EH40" s="268"/>
    </row>
    <row r="41" spans="1:138" ht="15.95" outlineLevel="1">
      <c r="A41" s="474"/>
      <c r="B41" s="609"/>
      <c r="C41" s="304" t="s">
        <v>347</v>
      </c>
      <c r="D41" s="295" t="s">
        <v>245</v>
      </c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307"/>
      <c r="T41" s="299"/>
      <c r="U41" s="299"/>
      <c r="V41" s="299"/>
      <c r="W41" s="299"/>
      <c r="X41" s="299"/>
      <c r="Y41" s="299"/>
      <c r="Z41" s="299"/>
      <c r="AA41" s="299"/>
      <c r="AB41" s="299"/>
      <c r="AC41" s="299"/>
      <c r="AD41" s="299"/>
      <c r="AE41" s="299"/>
      <c r="AF41" s="299"/>
      <c r="AG41" s="299"/>
      <c r="AH41" s="299"/>
      <c r="AI41" s="299"/>
      <c r="AJ41" s="299"/>
      <c r="AK41" s="299"/>
      <c r="AL41" s="299"/>
      <c r="AM41" s="299"/>
      <c r="AN41" s="299"/>
      <c r="AO41" s="299"/>
      <c r="AP41" s="299"/>
      <c r="AQ41" s="299"/>
      <c r="AR41" s="299"/>
      <c r="AS41" s="299"/>
      <c r="AT41" s="299"/>
      <c r="AU41" s="299"/>
      <c r="AV41" s="299"/>
      <c r="AW41" s="299"/>
      <c r="AX41" s="299"/>
      <c r="AY41" s="299"/>
      <c r="AZ41" s="299"/>
      <c r="BA41" s="299"/>
      <c r="BB41" s="299"/>
      <c r="BC41" s="299"/>
      <c r="BD41" s="299"/>
      <c r="BE41" s="299"/>
      <c r="BF41" s="299"/>
      <c r="BG41" s="299"/>
      <c r="BH41" s="299"/>
      <c r="BI41" s="299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  <c r="BU41" s="299"/>
      <c r="BV41" s="299"/>
      <c r="BW41" s="299"/>
      <c r="BX41" s="308"/>
      <c r="BY41" s="303">
        <f t="shared" si="20"/>
        <v>0</v>
      </c>
      <c r="BZ41" s="599"/>
      <c r="CA41" s="268"/>
      <c r="CB41" s="293" t="e">
        <f t="shared" ca="1" si="21"/>
        <v>#REF!</v>
      </c>
      <c r="CC41" s="599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  <c r="CY41" s="268"/>
      <c r="CZ41" s="268"/>
      <c r="DA41" s="268"/>
      <c r="DB41" s="268"/>
      <c r="DC41" s="268"/>
      <c r="DD41" s="268"/>
      <c r="DE41" s="268"/>
      <c r="DF41" s="268"/>
      <c r="DG41" s="268"/>
      <c r="DH41" s="268"/>
      <c r="DI41" s="268"/>
      <c r="DJ41" s="268"/>
      <c r="DK41" s="268"/>
      <c r="DL41" s="268"/>
      <c r="DM41" s="268"/>
      <c r="DN41" s="268"/>
      <c r="DO41" s="268"/>
      <c r="DP41" s="268"/>
      <c r="DQ41" s="268"/>
      <c r="DR41" s="268"/>
      <c r="DS41" s="268"/>
      <c r="DT41" s="268"/>
      <c r="DU41" s="268"/>
      <c r="DV41" s="268"/>
      <c r="DW41" s="268"/>
      <c r="DX41" s="268"/>
      <c r="DY41" s="268"/>
      <c r="DZ41" s="268"/>
      <c r="EA41" s="268"/>
      <c r="EB41" s="268"/>
      <c r="EC41" s="268"/>
      <c r="ED41" s="268"/>
      <c r="EE41" s="268"/>
      <c r="EF41" s="268"/>
      <c r="EG41" s="268"/>
      <c r="EH41" s="268"/>
    </row>
    <row r="42" spans="1:138" ht="15.95" outlineLevel="1">
      <c r="A42" s="474"/>
      <c r="B42" s="609"/>
      <c r="C42" s="304" t="s">
        <v>348</v>
      </c>
      <c r="D42" s="295" t="s">
        <v>245</v>
      </c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307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  <c r="AH42" s="299"/>
      <c r="AI42" s="299"/>
      <c r="AJ42" s="299"/>
      <c r="AK42" s="299"/>
      <c r="AL42" s="299"/>
      <c r="AM42" s="299"/>
      <c r="AN42" s="299"/>
      <c r="AO42" s="299"/>
      <c r="AP42" s="299"/>
      <c r="AQ42" s="299"/>
      <c r="AR42" s="299"/>
      <c r="AS42" s="299"/>
      <c r="AT42" s="299"/>
      <c r="AU42" s="299"/>
      <c r="AV42" s="299"/>
      <c r="AW42" s="299"/>
      <c r="AX42" s="299"/>
      <c r="AY42" s="299"/>
      <c r="AZ42" s="299"/>
      <c r="BA42" s="299"/>
      <c r="BB42" s="299"/>
      <c r="BC42" s="299"/>
      <c r="BD42" s="299"/>
      <c r="BE42" s="299"/>
      <c r="BF42" s="299"/>
      <c r="BG42" s="299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308"/>
      <c r="BY42" s="303">
        <f t="shared" si="20"/>
        <v>0</v>
      </c>
      <c r="BZ42" s="599"/>
      <c r="CA42" s="268"/>
      <c r="CB42" s="293"/>
      <c r="CC42" s="599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  <c r="CY42" s="268"/>
      <c r="CZ42" s="268"/>
      <c r="DA42" s="268"/>
      <c r="DB42" s="268"/>
      <c r="DC42" s="268"/>
      <c r="DD42" s="268"/>
      <c r="DE42" s="268"/>
      <c r="DF42" s="268"/>
      <c r="DG42" s="268"/>
      <c r="DH42" s="268"/>
      <c r="DI42" s="268"/>
      <c r="DJ42" s="268"/>
      <c r="DK42" s="268"/>
      <c r="DL42" s="268"/>
      <c r="DM42" s="268"/>
      <c r="DN42" s="268"/>
      <c r="DO42" s="268"/>
      <c r="DP42" s="268"/>
      <c r="DQ42" s="268"/>
      <c r="DR42" s="268"/>
      <c r="DS42" s="268"/>
      <c r="DT42" s="268"/>
      <c r="DU42" s="268"/>
      <c r="DV42" s="268"/>
      <c r="DW42" s="268"/>
      <c r="DX42" s="268"/>
      <c r="DY42" s="268"/>
      <c r="DZ42" s="268"/>
      <c r="EA42" s="268"/>
      <c r="EB42" s="268"/>
      <c r="EC42" s="268"/>
      <c r="ED42" s="268"/>
      <c r="EE42" s="268"/>
      <c r="EF42" s="268"/>
      <c r="EG42" s="268"/>
      <c r="EH42" s="268"/>
    </row>
    <row r="43" spans="1:138" ht="15.95" outlineLevel="1">
      <c r="A43" s="474"/>
      <c r="B43" s="609"/>
      <c r="C43" s="294" t="s">
        <v>274</v>
      </c>
      <c r="D43" s="295" t="s">
        <v>245</v>
      </c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306">
        <f>-Businessplan_prodej!$F$62/11</f>
        <v>-14500.063309090909</v>
      </c>
      <c r="T43" s="306">
        <f>-Businessplan_prodej!$F$62/11</f>
        <v>-14500.063309090909</v>
      </c>
      <c r="U43" s="306">
        <f>-Businessplan_prodej!$F$62/11</f>
        <v>-14500.063309090909</v>
      </c>
      <c r="V43" s="306">
        <f>-Businessplan_prodej!$F$62/11</f>
        <v>-14500.063309090909</v>
      </c>
      <c r="W43" s="306">
        <f>-Businessplan_prodej!$F$62/11</f>
        <v>-14500.063309090909</v>
      </c>
      <c r="X43" s="306">
        <f>-Businessplan_prodej!$F$62/11</f>
        <v>-14500.063309090909</v>
      </c>
      <c r="Y43" s="306">
        <f>-Businessplan_prodej!$F$62/11</f>
        <v>-14500.063309090909</v>
      </c>
      <c r="Z43" s="306">
        <f>-Businessplan_prodej!$F$62/11</f>
        <v>-14500.063309090909</v>
      </c>
      <c r="AA43" s="306">
        <f>-Businessplan_prodej!$F$62/11</f>
        <v>-14500.063309090909</v>
      </c>
      <c r="AB43" s="306">
        <f>-Businessplan_prodej!$F$62/11</f>
        <v>-14500.063309090909</v>
      </c>
      <c r="AC43" s="306">
        <f>-Businessplan_prodej!$F$62/11</f>
        <v>-14500.063309090909</v>
      </c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6"/>
      <c r="BN43" s="296"/>
      <c r="BO43" s="296"/>
      <c r="BP43" s="296"/>
      <c r="BQ43" s="296"/>
      <c r="BR43" s="296"/>
      <c r="BS43" s="296"/>
      <c r="BT43" s="296"/>
      <c r="BU43" s="296"/>
      <c r="BV43" s="296"/>
      <c r="BW43" s="296"/>
      <c r="BX43" s="301"/>
      <c r="BY43" s="303">
        <f t="shared" si="20"/>
        <v>-159500.69639999999</v>
      </c>
      <c r="BZ43" s="599"/>
      <c r="CA43" s="268"/>
      <c r="CB43" s="293" t="e">
        <f t="shared" ref="CB43:CB44" ca="1" si="22">SUM(INDEX(AC43:BX43, , 1):INDEX(AC43:BX43, ,MATCH(#REF!, $E$3:$BX$3,0) ))</f>
        <v>#REF!</v>
      </c>
      <c r="CC43" s="599"/>
      <c r="CD43" s="268"/>
      <c r="CE43" s="268"/>
      <c r="CF43" s="268"/>
      <c r="CG43" s="268"/>
      <c r="CH43" s="268"/>
      <c r="CI43" s="268"/>
      <c r="CJ43" s="268"/>
      <c r="CK43" s="268"/>
      <c r="CL43" s="268"/>
      <c r="CM43" s="268"/>
      <c r="CN43" s="268"/>
      <c r="CO43" s="268"/>
      <c r="CP43" s="268"/>
      <c r="CQ43" s="268"/>
      <c r="CR43" s="268"/>
      <c r="CS43" s="268"/>
      <c r="CT43" s="268"/>
      <c r="CU43" s="268"/>
      <c r="CV43" s="268"/>
      <c r="CW43" s="268"/>
      <c r="CX43" s="268"/>
      <c r="CY43" s="268"/>
      <c r="CZ43" s="268"/>
      <c r="DA43" s="268"/>
      <c r="DB43" s="268"/>
      <c r="DC43" s="268"/>
      <c r="DD43" s="268"/>
      <c r="DE43" s="268"/>
      <c r="DF43" s="268"/>
      <c r="DG43" s="268"/>
      <c r="DH43" s="268"/>
      <c r="DI43" s="268"/>
      <c r="DJ43" s="268"/>
      <c r="DK43" s="268"/>
      <c r="DL43" s="268"/>
      <c r="DM43" s="268"/>
      <c r="DN43" s="268"/>
      <c r="DO43" s="268"/>
      <c r="DP43" s="268"/>
      <c r="DQ43" s="268"/>
      <c r="DR43" s="268"/>
      <c r="DS43" s="268"/>
      <c r="DT43" s="268"/>
      <c r="DU43" s="268"/>
      <c r="DV43" s="268"/>
      <c r="DW43" s="268"/>
      <c r="DX43" s="268"/>
      <c r="DY43" s="268"/>
      <c r="DZ43" s="268"/>
      <c r="EA43" s="268"/>
      <c r="EB43" s="268"/>
      <c r="EC43" s="268"/>
      <c r="ED43" s="268"/>
      <c r="EE43" s="268"/>
      <c r="EF43" s="268"/>
      <c r="EG43" s="268"/>
      <c r="EH43" s="268"/>
    </row>
    <row r="44" spans="1:138" ht="15.95" outlineLevel="1">
      <c r="A44" s="474"/>
      <c r="B44" s="609"/>
      <c r="C44" s="294" t="s">
        <v>275</v>
      </c>
      <c r="D44" s="295" t="s">
        <v>245</v>
      </c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>
        <f>-Businessplan_prodej!$F$63/11</f>
        <v>-19333.417745454542</v>
      </c>
      <c r="T44" s="296">
        <f>-Businessplan_prodej!$F$63/11</f>
        <v>-19333.417745454542</v>
      </c>
      <c r="U44" s="296">
        <f>-Businessplan_prodej!$F$63/11</f>
        <v>-19333.417745454542</v>
      </c>
      <c r="V44" s="296">
        <f>-Businessplan_prodej!$F$63/11</f>
        <v>-19333.417745454542</v>
      </c>
      <c r="W44" s="296">
        <f>-Businessplan_prodej!$F$63/11</f>
        <v>-19333.417745454542</v>
      </c>
      <c r="X44" s="296">
        <f>-Businessplan_prodej!$F$63/11</f>
        <v>-19333.417745454542</v>
      </c>
      <c r="Y44" s="296">
        <f>-Businessplan_prodej!$F$63/11</f>
        <v>-19333.417745454542</v>
      </c>
      <c r="Z44" s="296">
        <f>-Businessplan_prodej!$F$63/11</f>
        <v>-19333.417745454542</v>
      </c>
      <c r="AA44" s="296">
        <f>-Businessplan_prodej!$F$63/11</f>
        <v>-19333.417745454542</v>
      </c>
      <c r="AB44" s="296">
        <f>-Businessplan_prodej!$F$63/11</f>
        <v>-19333.417745454542</v>
      </c>
      <c r="AC44" s="296">
        <f>-Businessplan_prodej!$F$63/11</f>
        <v>-19333.417745454542</v>
      </c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6"/>
      <c r="BN44" s="296"/>
      <c r="BO44" s="296"/>
      <c r="BP44" s="296"/>
      <c r="BQ44" s="296"/>
      <c r="BR44" s="296"/>
      <c r="BS44" s="296"/>
      <c r="BT44" s="296"/>
      <c r="BU44" s="296"/>
      <c r="BV44" s="296"/>
      <c r="BW44" s="296"/>
      <c r="BX44" s="301"/>
      <c r="BY44" s="303">
        <f t="shared" si="20"/>
        <v>-212667.59519999992</v>
      </c>
      <c r="BZ44" s="599"/>
      <c r="CA44" s="268"/>
      <c r="CB44" s="293" t="e">
        <f t="shared" ca="1" si="22"/>
        <v>#REF!</v>
      </c>
      <c r="CC44" s="599"/>
      <c r="CD44" s="268"/>
      <c r="CE44" s="268"/>
      <c r="CF44" s="268"/>
      <c r="CG44" s="268"/>
      <c r="CH44" s="268"/>
      <c r="CI44" s="268"/>
      <c r="CJ44" s="268"/>
      <c r="CK44" s="268"/>
      <c r="CL44" s="268"/>
      <c r="CM44" s="268"/>
      <c r="CN44" s="268"/>
      <c r="CO44" s="268"/>
      <c r="CP44" s="268"/>
      <c r="CQ44" s="268"/>
      <c r="CR44" s="268"/>
      <c r="CS44" s="268"/>
      <c r="CT44" s="268"/>
      <c r="CU44" s="268"/>
      <c r="CV44" s="268"/>
      <c r="CW44" s="268"/>
      <c r="CX44" s="268"/>
      <c r="CY44" s="268"/>
      <c r="CZ44" s="268"/>
      <c r="DA44" s="268"/>
      <c r="DB44" s="268"/>
      <c r="DC44" s="268"/>
      <c r="DD44" s="268"/>
      <c r="DE44" s="268"/>
      <c r="DF44" s="268"/>
      <c r="DG44" s="268"/>
      <c r="DH44" s="268"/>
      <c r="DI44" s="268"/>
      <c r="DJ44" s="268"/>
      <c r="DK44" s="268"/>
      <c r="DL44" s="268"/>
      <c r="DM44" s="268"/>
      <c r="DN44" s="268"/>
      <c r="DO44" s="268"/>
      <c r="DP44" s="268"/>
      <c r="DQ44" s="268"/>
      <c r="DR44" s="268"/>
      <c r="DS44" s="268"/>
      <c r="DT44" s="268"/>
      <c r="DU44" s="268"/>
      <c r="DV44" s="268"/>
      <c r="DW44" s="268"/>
      <c r="DX44" s="268"/>
      <c r="DY44" s="268"/>
      <c r="DZ44" s="268"/>
      <c r="EA44" s="268"/>
      <c r="EB44" s="268"/>
      <c r="EC44" s="268"/>
      <c r="ED44" s="268"/>
      <c r="EE44" s="268"/>
      <c r="EF44" s="268"/>
      <c r="EG44" s="268"/>
      <c r="EH44" s="268"/>
    </row>
    <row r="45" spans="1:138" ht="14.25" customHeight="1" outlineLevel="1">
      <c r="A45" s="474"/>
      <c r="B45" s="609"/>
      <c r="C45" s="294" t="s">
        <v>276</v>
      </c>
      <c r="D45" s="295" t="s">
        <v>245</v>
      </c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>
        <f>-Businessplan_prodej!$F$64*0.3</f>
        <v>-159500.69639999999</v>
      </c>
      <c r="T45" s="296">
        <f>-Businessplan_prodej!$F$64*0.3</f>
        <v>-159500.69639999999</v>
      </c>
      <c r="U45" s="296"/>
      <c r="V45" s="296"/>
      <c r="W45" s="296"/>
      <c r="X45" s="296"/>
      <c r="Y45" s="296"/>
      <c r="Z45" s="296"/>
      <c r="AA45" s="296"/>
      <c r="AB45" s="296">
        <f>-Businessplan_prodej!$F$64*0.2</f>
        <v>-106333.79760000001</v>
      </c>
      <c r="AC45" s="296">
        <f>-Businessplan_prodej!$F$64*0.2</f>
        <v>-106333.79760000001</v>
      </c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6"/>
      <c r="BN45" s="296"/>
      <c r="BO45" s="296"/>
      <c r="BP45" s="296"/>
      <c r="BQ45" s="296"/>
      <c r="BR45" s="296"/>
      <c r="BS45" s="296"/>
      <c r="BT45" s="296"/>
      <c r="BU45" s="296"/>
      <c r="BV45" s="296"/>
      <c r="BW45" s="296"/>
      <c r="BX45" s="301"/>
      <c r="BY45" s="303">
        <f t="shared" si="20"/>
        <v>-531668.98800000001</v>
      </c>
      <c r="BZ45" s="599"/>
      <c r="CA45" s="268"/>
      <c r="CB45" s="293" t="e">
        <f t="shared" ref="CB45:CB47" ca="1" si="23">SUM(INDEX(AC45:BX45, , 1):INDEX(AC45:BX45, ,MATCH(CB1, $E$3:$BX$3,0) ))</f>
        <v>#N/A</v>
      </c>
      <c r="CC45" s="599"/>
      <c r="CD45" s="268"/>
      <c r="CE45" s="268"/>
      <c r="CF45" s="268"/>
      <c r="CG45" s="268"/>
      <c r="CH45" s="268"/>
      <c r="CI45" s="268"/>
      <c r="CJ45" s="268"/>
      <c r="CK45" s="268"/>
      <c r="CL45" s="268"/>
      <c r="CM45" s="268"/>
      <c r="CN45" s="268"/>
      <c r="CO45" s="268"/>
      <c r="CP45" s="268"/>
      <c r="CQ45" s="268"/>
      <c r="CR45" s="268"/>
      <c r="CS45" s="268"/>
      <c r="CT45" s="268"/>
      <c r="CU45" s="268"/>
      <c r="CV45" s="268"/>
      <c r="CW45" s="268"/>
      <c r="CX45" s="268"/>
      <c r="CY45" s="268"/>
      <c r="CZ45" s="268"/>
      <c r="DA45" s="268"/>
      <c r="DB45" s="268"/>
      <c r="DC45" s="268"/>
      <c r="DD45" s="268"/>
      <c r="DE45" s="268"/>
      <c r="DF45" s="268"/>
      <c r="DG45" s="268"/>
      <c r="DH45" s="268"/>
      <c r="DI45" s="268"/>
      <c r="DJ45" s="268"/>
      <c r="DK45" s="268"/>
      <c r="DL45" s="268"/>
      <c r="DM45" s="268"/>
      <c r="DN45" s="268"/>
      <c r="DO45" s="268"/>
      <c r="DP45" s="268"/>
      <c r="DQ45" s="268"/>
      <c r="DR45" s="268"/>
      <c r="DS45" s="268"/>
      <c r="DT45" s="268"/>
      <c r="DU45" s="268"/>
      <c r="DV45" s="268"/>
      <c r="DW45" s="268"/>
      <c r="DX45" s="268"/>
      <c r="DY45" s="268"/>
      <c r="DZ45" s="268"/>
      <c r="EA45" s="268"/>
      <c r="EB45" s="268"/>
      <c r="EC45" s="268"/>
      <c r="ED45" s="268"/>
      <c r="EE45" s="268"/>
      <c r="EF45" s="268"/>
      <c r="EG45" s="268"/>
      <c r="EH45" s="268"/>
    </row>
    <row r="46" spans="1:138" ht="14.25" customHeight="1" outlineLevel="1">
      <c r="A46" s="474"/>
      <c r="B46" s="609"/>
      <c r="C46" s="294" t="s">
        <v>349</v>
      </c>
      <c r="D46" s="295" t="s">
        <v>245</v>
      </c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6"/>
      <c r="BN46" s="296"/>
      <c r="BO46" s="296"/>
      <c r="BP46" s="296"/>
      <c r="BQ46" s="296"/>
      <c r="BR46" s="296"/>
      <c r="BS46" s="296"/>
      <c r="BT46" s="296"/>
      <c r="BU46" s="296"/>
      <c r="BV46" s="296"/>
      <c r="BW46" s="296"/>
      <c r="BX46" s="301"/>
      <c r="BY46" s="303">
        <f t="shared" si="20"/>
        <v>0</v>
      </c>
      <c r="BZ46" s="599"/>
      <c r="CA46" s="268"/>
      <c r="CB46" s="293" t="e">
        <f t="shared" ca="1" si="23"/>
        <v>#N/A</v>
      </c>
      <c r="CC46" s="599"/>
      <c r="CD46" s="268"/>
      <c r="CE46" s="268"/>
      <c r="CF46" s="268"/>
      <c r="CG46" s="268"/>
      <c r="CH46" s="268"/>
      <c r="CI46" s="268"/>
      <c r="CJ46" s="268"/>
      <c r="CK46" s="268"/>
      <c r="CL46" s="268"/>
      <c r="CM46" s="268"/>
      <c r="CN46" s="268"/>
      <c r="CO46" s="268"/>
      <c r="CP46" s="268"/>
      <c r="CQ46" s="268"/>
      <c r="CR46" s="268"/>
      <c r="CS46" s="268"/>
      <c r="CT46" s="268"/>
      <c r="CU46" s="268"/>
      <c r="CV46" s="268"/>
      <c r="CW46" s="268"/>
      <c r="CX46" s="268"/>
      <c r="CY46" s="268"/>
      <c r="CZ46" s="268"/>
      <c r="DA46" s="268"/>
      <c r="DB46" s="268"/>
      <c r="DC46" s="268"/>
      <c r="DD46" s="268"/>
      <c r="DE46" s="268"/>
      <c r="DF46" s="268"/>
      <c r="DG46" s="268"/>
      <c r="DH46" s="268"/>
      <c r="DI46" s="268"/>
      <c r="DJ46" s="268"/>
      <c r="DK46" s="268"/>
      <c r="DL46" s="268"/>
      <c r="DM46" s="268"/>
      <c r="DN46" s="268"/>
      <c r="DO46" s="268"/>
      <c r="DP46" s="268"/>
      <c r="DQ46" s="268"/>
      <c r="DR46" s="268"/>
      <c r="DS46" s="268"/>
      <c r="DT46" s="268"/>
      <c r="DU46" s="268"/>
      <c r="DV46" s="268"/>
      <c r="DW46" s="268"/>
      <c r="DX46" s="268"/>
      <c r="DY46" s="268"/>
      <c r="DZ46" s="268"/>
      <c r="EA46" s="268"/>
      <c r="EB46" s="268"/>
      <c r="EC46" s="268"/>
      <c r="ED46" s="268"/>
      <c r="EE46" s="268"/>
      <c r="EF46" s="268"/>
      <c r="EG46" s="268"/>
      <c r="EH46" s="268"/>
    </row>
    <row r="47" spans="1:138" ht="14.25" customHeight="1" outlineLevel="1">
      <c r="A47" s="474"/>
      <c r="B47" s="609"/>
      <c r="C47" s="294" t="s">
        <v>277</v>
      </c>
      <c r="D47" s="298" t="s">
        <v>245</v>
      </c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6"/>
      <c r="BN47" s="296"/>
      <c r="BO47" s="296"/>
      <c r="BP47" s="296"/>
      <c r="BQ47" s="296"/>
      <c r="BR47" s="296"/>
      <c r="BS47" s="296"/>
      <c r="BT47" s="296"/>
      <c r="BU47" s="296"/>
      <c r="BV47" s="296"/>
      <c r="BW47" s="296"/>
      <c r="BX47" s="301"/>
      <c r="BY47" s="305">
        <f>SUM(B47:E47)</f>
        <v>0</v>
      </c>
      <c r="BZ47" s="599"/>
      <c r="CA47" s="268"/>
      <c r="CB47" s="293" t="e">
        <f t="shared" ca="1" si="23"/>
        <v>#N/A</v>
      </c>
      <c r="CC47" s="599"/>
      <c r="CD47" s="268"/>
      <c r="CE47" s="268"/>
      <c r="CF47" s="268"/>
      <c r="CG47" s="268"/>
      <c r="CH47" s="268"/>
      <c r="CI47" s="268"/>
      <c r="CJ47" s="268"/>
      <c r="CK47" s="268"/>
      <c r="CL47" s="268"/>
      <c r="CM47" s="268"/>
      <c r="CN47" s="268"/>
      <c r="CO47" s="268"/>
      <c r="CP47" s="268"/>
      <c r="CQ47" s="268"/>
      <c r="CR47" s="268"/>
      <c r="CS47" s="268"/>
      <c r="CT47" s="268"/>
      <c r="CU47" s="268"/>
      <c r="CV47" s="268"/>
      <c r="CW47" s="268"/>
      <c r="CX47" s="268"/>
      <c r="CY47" s="268"/>
      <c r="CZ47" s="268"/>
      <c r="DA47" s="268"/>
      <c r="DB47" s="268"/>
      <c r="DC47" s="268"/>
      <c r="DD47" s="268"/>
      <c r="DE47" s="268"/>
      <c r="DF47" s="268"/>
      <c r="DG47" s="268"/>
      <c r="DH47" s="268"/>
      <c r="DI47" s="268"/>
      <c r="DJ47" s="268"/>
      <c r="DK47" s="268"/>
      <c r="DL47" s="268"/>
      <c r="DM47" s="268"/>
      <c r="DN47" s="268"/>
      <c r="DO47" s="268"/>
      <c r="DP47" s="268"/>
      <c r="DQ47" s="268"/>
      <c r="DR47" s="268"/>
      <c r="DS47" s="268"/>
      <c r="DT47" s="268"/>
      <c r="DU47" s="268"/>
      <c r="DV47" s="268"/>
      <c r="DW47" s="268"/>
      <c r="DX47" s="268"/>
      <c r="DY47" s="268"/>
      <c r="DZ47" s="268"/>
      <c r="EA47" s="268"/>
      <c r="EB47" s="268"/>
      <c r="EC47" s="268"/>
      <c r="ED47" s="268"/>
      <c r="EE47" s="268"/>
      <c r="EF47" s="268"/>
      <c r="EG47" s="268"/>
      <c r="EH47" s="268"/>
    </row>
    <row r="48" spans="1:138" ht="15.95">
      <c r="A48" s="474"/>
      <c r="B48" s="609"/>
      <c r="C48" s="289" t="s">
        <v>278</v>
      </c>
      <c r="D48" s="290"/>
      <c r="E48" s="291">
        <f t="shared" ref="E48:BX48" si="24">SUM(E49:E53)</f>
        <v>0</v>
      </c>
      <c r="F48" s="291">
        <f t="shared" si="24"/>
        <v>0</v>
      </c>
      <c r="G48" s="291">
        <f t="shared" si="24"/>
        <v>0</v>
      </c>
      <c r="H48" s="291">
        <f t="shared" si="24"/>
        <v>0</v>
      </c>
      <c r="I48" s="291">
        <f t="shared" si="24"/>
        <v>0</v>
      </c>
      <c r="J48" s="291">
        <f t="shared" si="24"/>
        <v>0</v>
      </c>
      <c r="K48" s="291">
        <f t="shared" si="24"/>
        <v>0</v>
      </c>
      <c r="L48" s="291">
        <f t="shared" si="24"/>
        <v>0</v>
      </c>
      <c r="M48" s="291">
        <f t="shared" si="24"/>
        <v>0</v>
      </c>
      <c r="N48" s="291">
        <f t="shared" si="24"/>
        <v>0</v>
      </c>
      <c r="O48" s="291">
        <f t="shared" si="24"/>
        <v>0</v>
      </c>
      <c r="P48" s="291">
        <f t="shared" si="24"/>
        <v>0</v>
      </c>
      <c r="Q48" s="291">
        <f t="shared" si="24"/>
        <v>0</v>
      </c>
      <c r="R48" s="291">
        <f t="shared" si="24"/>
        <v>0</v>
      </c>
      <c r="S48" s="291">
        <f t="shared" si="24"/>
        <v>-557340.90909090894</v>
      </c>
      <c r="T48" s="291">
        <f t="shared" si="24"/>
        <v>-557340.90909090894</v>
      </c>
      <c r="U48" s="291">
        <f t="shared" si="24"/>
        <v>-761775.41459938895</v>
      </c>
      <c r="V48" s="291">
        <f t="shared" si="24"/>
        <v>-557340.90909090894</v>
      </c>
      <c r="W48" s="291">
        <f t="shared" si="24"/>
        <v>-557340.90909090894</v>
      </c>
      <c r="X48" s="291">
        <f t="shared" si="24"/>
        <v>-557340.90909090894</v>
      </c>
      <c r="Y48" s="291">
        <f t="shared" si="24"/>
        <v>-557340.90909090894</v>
      </c>
      <c r="Z48" s="291">
        <f t="shared" si="24"/>
        <v>-557340.90909090894</v>
      </c>
      <c r="AA48" s="291">
        <f t="shared" si="24"/>
        <v>-557340.90909090894</v>
      </c>
      <c r="AB48" s="291">
        <f t="shared" si="24"/>
        <v>-557340.90909090894</v>
      </c>
      <c r="AC48" s="291">
        <f t="shared" si="24"/>
        <v>-557340.90909090894</v>
      </c>
      <c r="AD48" s="291">
        <f t="shared" si="24"/>
        <v>0</v>
      </c>
      <c r="AE48" s="291">
        <f t="shared" si="24"/>
        <v>0</v>
      </c>
      <c r="AF48" s="291">
        <f t="shared" si="24"/>
        <v>0</v>
      </c>
      <c r="AG48" s="291">
        <f t="shared" si="24"/>
        <v>0</v>
      </c>
      <c r="AH48" s="291">
        <f t="shared" si="24"/>
        <v>0</v>
      </c>
      <c r="AI48" s="291">
        <f t="shared" si="24"/>
        <v>0</v>
      </c>
      <c r="AJ48" s="291">
        <f t="shared" si="24"/>
        <v>0</v>
      </c>
      <c r="AK48" s="291">
        <f t="shared" si="24"/>
        <v>0</v>
      </c>
      <c r="AL48" s="291">
        <f t="shared" si="24"/>
        <v>0</v>
      </c>
      <c r="AM48" s="291">
        <f t="shared" si="24"/>
        <v>0</v>
      </c>
      <c r="AN48" s="291">
        <f t="shared" si="24"/>
        <v>0</v>
      </c>
      <c r="AO48" s="291">
        <f t="shared" si="24"/>
        <v>0</v>
      </c>
      <c r="AP48" s="291">
        <f t="shared" si="24"/>
        <v>0</v>
      </c>
      <c r="AQ48" s="291">
        <f t="shared" si="24"/>
        <v>0</v>
      </c>
      <c r="AR48" s="291">
        <f t="shared" si="24"/>
        <v>0</v>
      </c>
      <c r="AS48" s="291">
        <f t="shared" si="24"/>
        <v>0</v>
      </c>
      <c r="AT48" s="291">
        <f t="shared" si="24"/>
        <v>0</v>
      </c>
      <c r="AU48" s="291">
        <f t="shared" si="24"/>
        <v>0</v>
      </c>
      <c r="AV48" s="291">
        <f t="shared" si="24"/>
        <v>0</v>
      </c>
      <c r="AW48" s="291">
        <f t="shared" si="24"/>
        <v>0</v>
      </c>
      <c r="AX48" s="291">
        <f t="shared" si="24"/>
        <v>0</v>
      </c>
      <c r="AY48" s="291">
        <f t="shared" si="24"/>
        <v>0</v>
      </c>
      <c r="AZ48" s="291">
        <f t="shared" si="24"/>
        <v>0</v>
      </c>
      <c r="BA48" s="291">
        <f t="shared" si="24"/>
        <v>0</v>
      </c>
      <c r="BB48" s="291">
        <f t="shared" si="24"/>
        <v>0</v>
      </c>
      <c r="BC48" s="291">
        <f t="shared" si="24"/>
        <v>0</v>
      </c>
      <c r="BD48" s="291">
        <f t="shared" si="24"/>
        <v>0</v>
      </c>
      <c r="BE48" s="291">
        <f t="shared" si="24"/>
        <v>0</v>
      </c>
      <c r="BF48" s="291">
        <f t="shared" si="24"/>
        <v>0</v>
      </c>
      <c r="BG48" s="291">
        <f t="shared" si="24"/>
        <v>0</v>
      </c>
      <c r="BH48" s="291">
        <f t="shared" si="24"/>
        <v>0</v>
      </c>
      <c r="BI48" s="291">
        <f t="shared" si="24"/>
        <v>0</v>
      </c>
      <c r="BJ48" s="291">
        <f t="shared" si="24"/>
        <v>0</v>
      </c>
      <c r="BK48" s="291">
        <f t="shared" si="24"/>
        <v>0</v>
      </c>
      <c r="BL48" s="291">
        <f t="shared" si="24"/>
        <v>0</v>
      </c>
      <c r="BM48" s="291">
        <f t="shared" si="24"/>
        <v>0</v>
      </c>
      <c r="BN48" s="291">
        <f t="shared" si="24"/>
        <v>0</v>
      </c>
      <c r="BO48" s="291">
        <f t="shared" si="24"/>
        <v>0</v>
      </c>
      <c r="BP48" s="291">
        <f t="shared" si="24"/>
        <v>0</v>
      </c>
      <c r="BQ48" s="291">
        <f t="shared" si="24"/>
        <v>0</v>
      </c>
      <c r="BR48" s="291">
        <f t="shared" si="24"/>
        <v>0</v>
      </c>
      <c r="BS48" s="291">
        <f t="shared" si="24"/>
        <v>0</v>
      </c>
      <c r="BT48" s="291">
        <f t="shared" si="24"/>
        <v>0</v>
      </c>
      <c r="BU48" s="291">
        <f t="shared" si="24"/>
        <v>0</v>
      </c>
      <c r="BV48" s="291">
        <f t="shared" si="24"/>
        <v>0</v>
      </c>
      <c r="BW48" s="291">
        <f t="shared" si="24"/>
        <v>0</v>
      </c>
      <c r="BX48" s="291">
        <f t="shared" si="24"/>
        <v>0</v>
      </c>
      <c r="BY48" s="293">
        <f>SUM(BY49:BY53)</f>
        <v>-6335184.5055084787</v>
      </c>
      <c r="BZ48" s="599"/>
      <c r="CA48" s="268"/>
      <c r="CB48" s="293" t="e">
        <f t="array" aca="1" ref="CB48" ca="1">SUM(INDEX(E48:BX48, , 1):INDEX(E48:BX48, ,MATCH($CB$4, $E$3:$BX$3,0) ))</f>
        <v>#N/A</v>
      </c>
      <c r="CC48" s="599"/>
      <c r="CD48" s="268"/>
      <c r="CE48" s="268"/>
      <c r="CF48" s="268"/>
      <c r="CG48" s="268"/>
      <c r="CH48" s="268"/>
      <c r="CI48" s="268"/>
      <c r="CJ48" s="268"/>
      <c r="CK48" s="268"/>
      <c r="CL48" s="268"/>
      <c r="CM48" s="268"/>
      <c r="CN48" s="268"/>
      <c r="CO48" s="268"/>
      <c r="CP48" s="268"/>
      <c r="CQ48" s="268"/>
      <c r="CR48" s="268"/>
      <c r="CS48" s="268"/>
      <c r="CT48" s="268"/>
      <c r="CU48" s="268"/>
      <c r="CV48" s="268"/>
      <c r="CW48" s="268"/>
      <c r="CX48" s="268"/>
      <c r="CY48" s="268"/>
      <c r="CZ48" s="268"/>
      <c r="DA48" s="268"/>
      <c r="DB48" s="268"/>
      <c r="DC48" s="268"/>
      <c r="DD48" s="268"/>
      <c r="DE48" s="268"/>
      <c r="DF48" s="268"/>
      <c r="DG48" s="268"/>
      <c r="DH48" s="268"/>
      <c r="DI48" s="268"/>
      <c r="DJ48" s="268"/>
      <c r="DK48" s="268"/>
      <c r="DL48" s="268"/>
      <c r="DM48" s="268"/>
      <c r="DN48" s="268"/>
      <c r="DO48" s="268"/>
      <c r="DP48" s="268"/>
      <c r="DQ48" s="268"/>
      <c r="DR48" s="268"/>
      <c r="DS48" s="268"/>
      <c r="DT48" s="268"/>
      <c r="DU48" s="268"/>
      <c r="DV48" s="268"/>
      <c r="DW48" s="268"/>
      <c r="DX48" s="268"/>
      <c r="DY48" s="268"/>
      <c r="DZ48" s="268"/>
      <c r="EA48" s="268"/>
      <c r="EB48" s="268"/>
      <c r="EC48" s="268"/>
      <c r="ED48" s="268"/>
      <c r="EE48" s="268"/>
      <c r="EF48" s="268"/>
      <c r="EG48" s="268"/>
      <c r="EH48" s="268"/>
    </row>
    <row r="49" spans="1:138" ht="15.95" outlineLevel="1">
      <c r="A49" s="474"/>
      <c r="B49" s="609"/>
      <c r="C49" s="294" t="s">
        <v>279</v>
      </c>
      <c r="D49" s="295" t="s">
        <v>245</v>
      </c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>
        <f>-Businessplan_prodej!F73</f>
        <v>-204434.50550848001</v>
      </c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6"/>
      <c r="BN49" s="296"/>
      <c r="BO49" s="296"/>
      <c r="BP49" s="296"/>
      <c r="BQ49" s="296"/>
      <c r="BR49" s="296"/>
      <c r="BS49" s="296"/>
      <c r="BT49" s="296"/>
      <c r="BU49" s="296"/>
      <c r="BV49" s="296"/>
      <c r="BW49" s="296"/>
      <c r="BX49" s="301"/>
      <c r="BY49" s="302">
        <f t="shared" ref="BY49:BY53" si="25">SUM(E49:BX49)</f>
        <v>-204434.50550848001</v>
      </c>
      <c r="BZ49" s="599"/>
      <c r="CA49" s="268"/>
      <c r="CB49" s="293" t="e">
        <f t="shared" ref="CB49:CB53" ca="1" si="26">SUM(INDEX(AC49:BX49, , 1):INDEX(AC49:BX49, ,MATCH(CB5, E4:BX4,0) ))</f>
        <v>#N/A</v>
      </c>
      <c r="CC49" s="599"/>
      <c r="CD49" s="268"/>
      <c r="CE49" s="268"/>
      <c r="CF49" s="268"/>
      <c r="CG49" s="268"/>
      <c r="CH49" s="268"/>
      <c r="CI49" s="268"/>
      <c r="CJ49" s="268"/>
      <c r="CK49" s="268"/>
      <c r="CL49" s="268"/>
      <c r="CM49" s="268"/>
      <c r="CN49" s="268"/>
      <c r="CO49" s="268"/>
      <c r="CP49" s="268"/>
      <c r="CQ49" s="268"/>
      <c r="CR49" s="268"/>
      <c r="CS49" s="268"/>
      <c r="CT49" s="268"/>
      <c r="CU49" s="268"/>
      <c r="CV49" s="268"/>
      <c r="CW49" s="268"/>
      <c r="CX49" s="268"/>
      <c r="CY49" s="268"/>
      <c r="CZ49" s="268"/>
      <c r="DA49" s="268"/>
      <c r="DB49" s="268"/>
      <c r="DC49" s="268"/>
      <c r="DD49" s="268"/>
      <c r="DE49" s="268"/>
      <c r="DF49" s="268"/>
      <c r="DG49" s="268"/>
      <c r="DH49" s="268"/>
      <c r="DI49" s="268"/>
      <c r="DJ49" s="268"/>
      <c r="DK49" s="268"/>
      <c r="DL49" s="268"/>
      <c r="DM49" s="268"/>
      <c r="DN49" s="268"/>
      <c r="DO49" s="268"/>
      <c r="DP49" s="268"/>
      <c r="DQ49" s="268"/>
      <c r="DR49" s="268"/>
      <c r="DS49" s="268"/>
      <c r="DT49" s="268"/>
      <c r="DU49" s="268"/>
      <c r="DV49" s="268"/>
      <c r="DW49" s="268"/>
      <c r="DX49" s="268"/>
      <c r="DY49" s="268"/>
      <c r="DZ49" s="268"/>
      <c r="EA49" s="268"/>
      <c r="EB49" s="268"/>
      <c r="EC49" s="268"/>
      <c r="ED49" s="268"/>
      <c r="EE49" s="268"/>
      <c r="EF49" s="268"/>
      <c r="EG49" s="268"/>
      <c r="EH49" s="268"/>
    </row>
    <row r="50" spans="1:138" ht="15.95" outlineLevel="1">
      <c r="A50" s="474"/>
      <c r="B50" s="609"/>
      <c r="C50" s="294" t="s">
        <v>280</v>
      </c>
      <c r="D50" s="295" t="s">
        <v>245</v>
      </c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>
        <f>-Businessplan_prodej!$F$74/11</f>
        <v>-556249.99999999988</v>
      </c>
      <c r="T50" s="296">
        <f>-Businessplan_prodej!$F$74/11</f>
        <v>-556249.99999999988</v>
      </c>
      <c r="U50" s="296">
        <f>-Businessplan_prodej!$F$74/11</f>
        <v>-556249.99999999988</v>
      </c>
      <c r="V50" s="296">
        <f>-Businessplan_prodej!$F$74/11</f>
        <v>-556249.99999999988</v>
      </c>
      <c r="W50" s="296">
        <f>-Businessplan_prodej!$F$74/11</f>
        <v>-556249.99999999988</v>
      </c>
      <c r="X50" s="296">
        <f>-Businessplan_prodej!$F$74/11</f>
        <v>-556249.99999999988</v>
      </c>
      <c r="Y50" s="296">
        <f>-Businessplan_prodej!$F$74/11</f>
        <v>-556249.99999999988</v>
      </c>
      <c r="Z50" s="296">
        <f>-Businessplan_prodej!$F$74/11</f>
        <v>-556249.99999999988</v>
      </c>
      <c r="AA50" s="296">
        <f>-Businessplan_prodej!$F$74/11</f>
        <v>-556249.99999999988</v>
      </c>
      <c r="AB50" s="296">
        <f>-Businessplan_prodej!$F$74/11</f>
        <v>-556249.99999999988</v>
      </c>
      <c r="AC50" s="296">
        <f>-Businessplan_prodej!$F$74/11</f>
        <v>-556249.99999999988</v>
      </c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6"/>
      <c r="BN50" s="296"/>
      <c r="BO50" s="296"/>
      <c r="BP50" s="296"/>
      <c r="BQ50" s="296"/>
      <c r="BR50" s="296"/>
      <c r="BS50" s="296"/>
      <c r="BT50" s="296"/>
      <c r="BU50" s="296"/>
      <c r="BV50" s="296"/>
      <c r="BW50" s="296"/>
      <c r="BX50" s="301"/>
      <c r="BY50" s="302">
        <f t="shared" si="25"/>
        <v>-6118749.9999999991</v>
      </c>
      <c r="BZ50" s="599"/>
      <c r="CA50" s="268"/>
      <c r="CB50" s="293" t="e">
        <f t="shared" ca="1" si="26"/>
        <v>#N/A</v>
      </c>
      <c r="CC50" s="599"/>
      <c r="CD50" s="268"/>
      <c r="CE50" s="268"/>
      <c r="CF50" s="268"/>
      <c r="CG50" s="268"/>
      <c r="CH50" s="268"/>
      <c r="CI50" s="268"/>
      <c r="CJ50" s="268"/>
      <c r="CK50" s="268"/>
      <c r="CL50" s="268"/>
      <c r="CM50" s="268"/>
      <c r="CN50" s="268"/>
      <c r="CO50" s="268"/>
      <c r="CP50" s="268"/>
      <c r="CQ50" s="268"/>
      <c r="CR50" s="268"/>
      <c r="CS50" s="268"/>
      <c r="CT50" s="268"/>
      <c r="CU50" s="268"/>
      <c r="CV50" s="268"/>
      <c r="CW50" s="268"/>
      <c r="CX50" s="268"/>
      <c r="CY50" s="268"/>
      <c r="CZ50" s="268"/>
      <c r="DA50" s="268"/>
      <c r="DB50" s="268"/>
      <c r="DC50" s="268"/>
      <c r="DD50" s="268"/>
      <c r="DE50" s="268"/>
      <c r="DF50" s="268"/>
      <c r="DG50" s="268"/>
      <c r="DH50" s="268"/>
      <c r="DI50" s="268"/>
      <c r="DJ50" s="268"/>
      <c r="DK50" s="268"/>
      <c r="DL50" s="268"/>
      <c r="DM50" s="268"/>
      <c r="DN50" s="268"/>
      <c r="DO50" s="268"/>
      <c r="DP50" s="268"/>
      <c r="DQ50" s="268"/>
      <c r="DR50" s="268"/>
      <c r="DS50" s="268"/>
      <c r="DT50" s="268"/>
      <c r="DU50" s="268"/>
      <c r="DV50" s="268"/>
      <c r="DW50" s="268"/>
      <c r="DX50" s="268"/>
      <c r="DY50" s="268"/>
      <c r="DZ50" s="268"/>
      <c r="EA50" s="268"/>
      <c r="EB50" s="268"/>
      <c r="EC50" s="268"/>
      <c r="ED50" s="268"/>
      <c r="EE50" s="268"/>
      <c r="EF50" s="268"/>
      <c r="EG50" s="268"/>
      <c r="EH50" s="268"/>
    </row>
    <row r="51" spans="1:138" ht="15.95" outlineLevel="1">
      <c r="A51" s="474"/>
      <c r="B51" s="609"/>
      <c r="C51" s="294" t="s">
        <v>281</v>
      </c>
      <c r="D51" s="295" t="s">
        <v>245</v>
      </c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6"/>
      <c r="BN51" s="296"/>
      <c r="BO51" s="296"/>
      <c r="BP51" s="296"/>
      <c r="BQ51" s="296"/>
      <c r="BR51" s="296"/>
      <c r="BS51" s="296"/>
      <c r="BT51" s="296"/>
      <c r="BU51" s="296"/>
      <c r="BV51" s="296"/>
      <c r="BW51" s="296"/>
      <c r="BX51" s="301"/>
      <c r="BY51" s="302">
        <f t="shared" si="25"/>
        <v>0</v>
      </c>
      <c r="BZ51" s="599"/>
      <c r="CA51" s="268"/>
      <c r="CB51" s="293" t="e">
        <f t="shared" ca="1" si="26"/>
        <v>#N/A</v>
      </c>
      <c r="CC51" s="599"/>
      <c r="CD51" s="268"/>
      <c r="CE51" s="268"/>
      <c r="CF51" s="268"/>
      <c r="CG51" s="268"/>
      <c r="CH51" s="268"/>
      <c r="CI51" s="268"/>
      <c r="CJ51" s="268"/>
      <c r="CK51" s="268"/>
      <c r="CL51" s="268"/>
      <c r="CM51" s="268"/>
      <c r="CN51" s="268"/>
      <c r="CO51" s="268"/>
      <c r="CP51" s="268"/>
      <c r="CQ51" s="268"/>
      <c r="CR51" s="268"/>
      <c r="CS51" s="268"/>
      <c r="CT51" s="268"/>
      <c r="CU51" s="268"/>
      <c r="CV51" s="268"/>
      <c r="CW51" s="268"/>
      <c r="CX51" s="268"/>
      <c r="CY51" s="268"/>
      <c r="CZ51" s="268"/>
      <c r="DA51" s="268"/>
      <c r="DB51" s="268"/>
      <c r="DC51" s="268"/>
      <c r="DD51" s="268"/>
      <c r="DE51" s="268"/>
      <c r="DF51" s="268"/>
      <c r="DG51" s="268"/>
      <c r="DH51" s="268"/>
      <c r="DI51" s="268"/>
      <c r="DJ51" s="268"/>
      <c r="DK51" s="268"/>
      <c r="DL51" s="268"/>
      <c r="DM51" s="268"/>
      <c r="DN51" s="268"/>
      <c r="DO51" s="268"/>
      <c r="DP51" s="268"/>
      <c r="DQ51" s="268"/>
      <c r="DR51" s="268"/>
      <c r="DS51" s="268"/>
      <c r="DT51" s="268"/>
      <c r="DU51" s="268"/>
      <c r="DV51" s="268"/>
      <c r="DW51" s="268"/>
      <c r="DX51" s="268"/>
      <c r="DY51" s="268"/>
      <c r="DZ51" s="268"/>
      <c r="EA51" s="268"/>
      <c r="EB51" s="268"/>
      <c r="EC51" s="268"/>
      <c r="ED51" s="268"/>
      <c r="EE51" s="268"/>
      <c r="EF51" s="268"/>
      <c r="EG51" s="268"/>
      <c r="EH51" s="268"/>
    </row>
    <row r="52" spans="1:138" ht="15.95" outlineLevel="1">
      <c r="A52" s="474"/>
      <c r="B52" s="609"/>
      <c r="C52" s="294" t="s">
        <v>282</v>
      </c>
      <c r="D52" s="295" t="s">
        <v>245</v>
      </c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>
        <f>-Businessplan_prodej!$F$76/11</f>
        <v>-1090.909090909091</v>
      </c>
      <c r="T52" s="296">
        <f>-Businessplan_prodej!$F$76/11</f>
        <v>-1090.909090909091</v>
      </c>
      <c r="U52" s="296">
        <f>-Businessplan_prodej!$F$76/11</f>
        <v>-1090.909090909091</v>
      </c>
      <c r="V52" s="296">
        <f>-Businessplan_prodej!$F$76/11</f>
        <v>-1090.909090909091</v>
      </c>
      <c r="W52" s="296">
        <f>-Businessplan_prodej!$F$76/11</f>
        <v>-1090.909090909091</v>
      </c>
      <c r="X52" s="296">
        <f>-Businessplan_prodej!$F$76/11</f>
        <v>-1090.909090909091</v>
      </c>
      <c r="Y52" s="296">
        <f>-Businessplan_prodej!$F$76/11</f>
        <v>-1090.909090909091</v>
      </c>
      <c r="Z52" s="296">
        <f>-Businessplan_prodej!$F$76/11</f>
        <v>-1090.909090909091</v>
      </c>
      <c r="AA52" s="296">
        <f>-Businessplan_prodej!$F$76/11</f>
        <v>-1090.909090909091</v>
      </c>
      <c r="AB52" s="296">
        <f>-Businessplan_prodej!$F$76/11</f>
        <v>-1090.909090909091</v>
      </c>
      <c r="AC52" s="296">
        <f>-Businessplan_prodej!$F$76/11</f>
        <v>-1090.909090909091</v>
      </c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6"/>
      <c r="BN52" s="296"/>
      <c r="BO52" s="296"/>
      <c r="BP52" s="296"/>
      <c r="BQ52" s="296"/>
      <c r="BR52" s="296"/>
      <c r="BS52" s="296"/>
      <c r="BT52" s="296"/>
      <c r="BU52" s="296"/>
      <c r="BV52" s="296"/>
      <c r="BW52" s="296"/>
      <c r="BX52" s="301"/>
      <c r="BY52" s="303">
        <f t="shared" si="25"/>
        <v>-12000.000000000004</v>
      </c>
      <c r="BZ52" s="599"/>
      <c r="CA52" s="268"/>
      <c r="CB52" s="293" t="e">
        <f t="shared" ca="1" si="26"/>
        <v>#N/A</v>
      </c>
      <c r="CC52" s="599"/>
      <c r="CD52" s="268"/>
      <c r="CE52" s="268"/>
      <c r="CF52" s="268"/>
      <c r="CG52" s="268"/>
      <c r="CH52" s="268"/>
      <c r="CI52" s="268"/>
      <c r="CJ52" s="268"/>
      <c r="CK52" s="268"/>
      <c r="CL52" s="268"/>
      <c r="CM52" s="268"/>
      <c r="CN52" s="268"/>
      <c r="CO52" s="268"/>
      <c r="CP52" s="268"/>
      <c r="CQ52" s="268"/>
      <c r="CR52" s="268"/>
      <c r="CS52" s="268"/>
      <c r="CT52" s="268"/>
      <c r="CU52" s="268"/>
      <c r="CV52" s="268"/>
      <c r="CW52" s="268"/>
      <c r="CX52" s="268"/>
      <c r="CY52" s="268"/>
      <c r="CZ52" s="268"/>
      <c r="DA52" s="268"/>
      <c r="DB52" s="268"/>
      <c r="DC52" s="268"/>
      <c r="DD52" s="268"/>
      <c r="DE52" s="268"/>
      <c r="DF52" s="268"/>
      <c r="DG52" s="268"/>
      <c r="DH52" s="268"/>
      <c r="DI52" s="268"/>
      <c r="DJ52" s="268"/>
      <c r="DK52" s="268"/>
      <c r="DL52" s="268"/>
      <c r="DM52" s="268"/>
      <c r="DN52" s="268"/>
      <c r="DO52" s="268"/>
      <c r="DP52" s="268"/>
      <c r="DQ52" s="268"/>
      <c r="DR52" s="268"/>
      <c r="DS52" s="268"/>
      <c r="DT52" s="268"/>
      <c r="DU52" s="268"/>
      <c r="DV52" s="268"/>
      <c r="DW52" s="268"/>
      <c r="DX52" s="268"/>
      <c r="DY52" s="268"/>
      <c r="DZ52" s="268"/>
      <c r="EA52" s="268"/>
      <c r="EB52" s="268"/>
      <c r="EC52" s="268"/>
      <c r="ED52" s="268"/>
      <c r="EE52" s="268"/>
      <c r="EF52" s="268"/>
      <c r="EG52" s="268"/>
      <c r="EH52" s="268"/>
    </row>
    <row r="53" spans="1:138" ht="15.95" outlineLevel="1">
      <c r="A53" s="474"/>
      <c r="B53" s="609"/>
      <c r="C53" s="294" t="s">
        <v>283</v>
      </c>
      <c r="D53" s="298" t="s">
        <v>245</v>
      </c>
      <c r="E53" s="299"/>
      <c r="F53" s="299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6"/>
      <c r="BN53" s="296"/>
      <c r="BO53" s="296"/>
      <c r="BP53" s="296"/>
      <c r="BQ53" s="296"/>
      <c r="BR53" s="296"/>
      <c r="BS53" s="296"/>
      <c r="BT53" s="296"/>
      <c r="BU53" s="296"/>
      <c r="BV53" s="296"/>
      <c r="BW53" s="296"/>
      <c r="BX53" s="301"/>
      <c r="BY53" s="305">
        <f t="shared" si="25"/>
        <v>0</v>
      </c>
      <c r="BZ53" s="599"/>
      <c r="CA53" s="268"/>
      <c r="CB53" s="293" t="e">
        <f t="shared" ca="1" si="26"/>
        <v>#N/A</v>
      </c>
      <c r="CC53" s="599"/>
      <c r="CD53" s="268"/>
      <c r="CE53" s="268"/>
      <c r="CF53" s="268"/>
      <c r="CG53" s="268"/>
      <c r="CH53" s="268"/>
      <c r="CI53" s="268"/>
      <c r="CJ53" s="268"/>
      <c r="CK53" s="268"/>
      <c r="CL53" s="268"/>
      <c r="CM53" s="268"/>
      <c r="CN53" s="268"/>
      <c r="CO53" s="268"/>
      <c r="CP53" s="268"/>
      <c r="CQ53" s="268"/>
      <c r="CR53" s="268"/>
      <c r="CS53" s="268"/>
      <c r="CT53" s="268"/>
      <c r="CU53" s="268"/>
      <c r="CV53" s="268"/>
      <c r="CW53" s="268"/>
      <c r="CX53" s="268"/>
      <c r="CY53" s="268"/>
      <c r="CZ53" s="268"/>
      <c r="DA53" s="268"/>
      <c r="DB53" s="268"/>
      <c r="DC53" s="268"/>
      <c r="DD53" s="268"/>
      <c r="DE53" s="268"/>
      <c r="DF53" s="268"/>
      <c r="DG53" s="268"/>
      <c r="DH53" s="268"/>
      <c r="DI53" s="268"/>
      <c r="DJ53" s="268"/>
      <c r="DK53" s="268"/>
      <c r="DL53" s="268"/>
      <c r="DM53" s="268"/>
      <c r="DN53" s="268"/>
      <c r="DO53" s="268"/>
      <c r="DP53" s="268"/>
      <c r="DQ53" s="268"/>
      <c r="DR53" s="268"/>
      <c r="DS53" s="268"/>
      <c r="DT53" s="268"/>
      <c r="DU53" s="268"/>
      <c r="DV53" s="268"/>
      <c r="DW53" s="268"/>
      <c r="DX53" s="268"/>
      <c r="DY53" s="268"/>
      <c r="DZ53" s="268"/>
      <c r="EA53" s="268"/>
      <c r="EB53" s="268"/>
      <c r="EC53" s="268"/>
      <c r="ED53" s="268"/>
      <c r="EE53" s="268"/>
      <c r="EF53" s="268"/>
      <c r="EG53" s="268"/>
      <c r="EH53" s="268"/>
    </row>
    <row r="54" spans="1:138" ht="15.95">
      <c r="A54" s="474"/>
      <c r="B54" s="609"/>
      <c r="C54" s="289" t="s">
        <v>284</v>
      </c>
      <c r="D54" s="290"/>
      <c r="E54" s="291">
        <f t="shared" ref="E54:BX54" si="27">SUM(E55:E61)</f>
        <v>0</v>
      </c>
      <c r="F54" s="291">
        <f t="shared" si="27"/>
        <v>0</v>
      </c>
      <c r="G54" s="291">
        <f t="shared" si="27"/>
        <v>0</v>
      </c>
      <c r="H54" s="291">
        <f t="shared" si="27"/>
        <v>0</v>
      </c>
      <c r="I54" s="291">
        <f t="shared" si="27"/>
        <v>0</v>
      </c>
      <c r="J54" s="291">
        <f t="shared" si="27"/>
        <v>0</v>
      </c>
      <c r="K54" s="291">
        <f t="shared" si="27"/>
        <v>0</v>
      </c>
      <c r="L54" s="291">
        <f t="shared" si="27"/>
        <v>0</v>
      </c>
      <c r="M54" s="291">
        <f t="shared" si="27"/>
        <v>0</v>
      </c>
      <c r="N54" s="291">
        <f t="shared" si="27"/>
        <v>0</v>
      </c>
      <c r="O54" s="291">
        <f t="shared" si="27"/>
        <v>0</v>
      </c>
      <c r="P54" s="291">
        <f t="shared" si="27"/>
        <v>0</v>
      </c>
      <c r="Q54" s="291">
        <f t="shared" si="27"/>
        <v>0</v>
      </c>
      <c r="R54" s="291">
        <f t="shared" si="27"/>
        <v>0</v>
      </c>
      <c r="S54" s="291">
        <f t="shared" si="27"/>
        <v>0</v>
      </c>
      <c r="T54" s="291">
        <f t="shared" si="27"/>
        <v>0</v>
      </c>
      <c r="U54" s="291">
        <f t="shared" si="27"/>
        <v>-72916.666666666672</v>
      </c>
      <c r="V54" s="291">
        <f t="shared" si="27"/>
        <v>-157500.00000000003</v>
      </c>
      <c r="W54" s="291">
        <f t="shared" si="27"/>
        <v>-242083.33333333337</v>
      </c>
      <c r="X54" s="291">
        <f t="shared" si="27"/>
        <v>-326666.66666666669</v>
      </c>
      <c r="Y54" s="291">
        <f t="shared" si="27"/>
        <v>-411250.00000000006</v>
      </c>
      <c r="Z54" s="291">
        <f t="shared" si="27"/>
        <v>-495833.33333333343</v>
      </c>
      <c r="AA54" s="291">
        <f t="shared" si="27"/>
        <v>-580416.66666666674</v>
      </c>
      <c r="AB54" s="291">
        <f t="shared" si="27"/>
        <v>-665000.00000000012</v>
      </c>
      <c r="AC54" s="291">
        <f t="shared" si="27"/>
        <v>-2466250.0000000005</v>
      </c>
      <c r="AD54" s="291">
        <f t="shared" si="27"/>
        <v>0</v>
      </c>
      <c r="AE54" s="291">
        <f t="shared" si="27"/>
        <v>0</v>
      </c>
      <c r="AF54" s="291">
        <f t="shared" si="27"/>
        <v>0</v>
      </c>
      <c r="AG54" s="291">
        <f t="shared" si="27"/>
        <v>0</v>
      </c>
      <c r="AH54" s="291">
        <f t="shared" si="27"/>
        <v>0</v>
      </c>
      <c r="AI54" s="291">
        <f t="shared" si="27"/>
        <v>0</v>
      </c>
      <c r="AJ54" s="291">
        <f t="shared" si="27"/>
        <v>0</v>
      </c>
      <c r="AK54" s="291">
        <f t="shared" si="27"/>
        <v>0</v>
      </c>
      <c r="AL54" s="291">
        <f t="shared" si="27"/>
        <v>0</v>
      </c>
      <c r="AM54" s="291">
        <f t="shared" si="27"/>
        <v>0</v>
      </c>
      <c r="AN54" s="291">
        <f t="shared" si="27"/>
        <v>0</v>
      </c>
      <c r="AO54" s="291">
        <f t="shared" si="27"/>
        <v>0</v>
      </c>
      <c r="AP54" s="291">
        <f t="shared" si="27"/>
        <v>0</v>
      </c>
      <c r="AQ54" s="291">
        <f t="shared" si="27"/>
        <v>0</v>
      </c>
      <c r="AR54" s="291">
        <f t="shared" si="27"/>
        <v>0</v>
      </c>
      <c r="AS54" s="291">
        <f t="shared" si="27"/>
        <v>0</v>
      </c>
      <c r="AT54" s="291">
        <f t="shared" si="27"/>
        <v>0</v>
      </c>
      <c r="AU54" s="291">
        <f t="shared" si="27"/>
        <v>0</v>
      </c>
      <c r="AV54" s="291">
        <f t="shared" si="27"/>
        <v>0</v>
      </c>
      <c r="AW54" s="291">
        <f t="shared" si="27"/>
        <v>0</v>
      </c>
      <c r="AX54" s="291">
        <f t="shared" si="27"/>
        <v>0</v>
      </c>
      <c r="AY54" s="291">
        <f t="shared" si="27"/>
        <v>0</v>
      </c>
      <c r="AZ54" s="291">
        <f t="shared" si="27"/>
        <v>0</v>
      </c>
      <c r="BA54" s="291">
        <f t="shared" si="27"/>
        <v>0</v>
      </c>
      <c r="BB54" s="291">
        <f t="shared" si="27"/>
        <v>0</v>
      </c>
      <c r="BC54" s="291">
        <f t="shared" si="27"/>
        <v>0</v>
      </c>
      <c r="BD54" s="291">
        <f t="shared" si="27"/>
        <v>0</v>
      </c>
      <c r="BE54" s="291">
        <f t="shared" si="27"/>
        <v>0</v>
      </c>
      <c r="BF54" s="291">
        <f t="shared" si="27"/>
        <v>0</v>
      </c>
      <c r="BG54" s="291">
        <f t="shared" si="27"/>
        <v>0</v>
      </c>
      <c r="BH54" s="291">
        <f t="shared" si="27"/>
        <v>0</v>
      </c>
      <c r="BI54" s="291">
        <f t="shared" si="27"/>
        <v>0</v>
      </c>
      <c r="BJ54" s="291">
        <f t="shared" si="27"/>
        <v>0</v>
      </c>
      <c r="BK54" s="291">
        <f t="shared" si="27"/>
        <v>0</v>
      </c>
      <c r="BL54" s="291">
        <f t="shared" si="27"/>
        <v>0</v>
      </c>
      <c r="BM54" s="291">
        <f t="shared" si="27"/>
        <v>0</v>
      </c>
      <c r="BN54" s="291">
        <f t="shared" si="27"/>
        <v>0</v>
      </c>
      <c r="BO54" s="291">
        <f t="shared" si="27"/>
        <v>0</v>
      </c>
      <c r="BP54" s="291">
        <f t="shared" si="27"/>
        <v>0</v>
      </c>
      <c r="BQ54" s="291">
        <f t="shared" si="27"/>
        <v>0</v>
      </c>
      <c r="BR54" s="291">
        <f t="shared" si="27"/>
        <v>0</v>
      </c>
      <c r="BS54" s="291">
        <f t="shared" si="27"/>
        <v>0</v>
      </c>
      <c r="BT54" s="291">
        <f t="shared" si="27"/>
        <v>0</v>
      </c>
      <c r="BU54" s="291">
        <f t="shared" si="27"/>
        <v>0</v>
      </c>
      <c r="BV54" s="291">
        <f t="shared" si="27"/>
        <v>0</v>
      </c>
      <c r="BW54" s="291">
        <f t="shared" si="27"/>
        <v>0</v>
      </c>
      <c r="BX54" s="291">
        <f t="shared" si="27"/>
        <v>0</v>
      </c>
      <c r="BY54" s="293">
        <f>SUM(BY55:BY61)</f>
        <v>-5417916.666666667</v>
      </c>
      <c r="BZ54" s="599"/>
      <c r="CA54" s="268"/>
      <c r="CB54" s="293" t="e">
        <f t="array" aca="1" ref="CB54" ca="1">SUM(INDEX(E54:BX54, , 1):INDEX(E54:BX54, ,MATCH($CB$4, $E$3:$BX$3,0) ))</f>
        <v>#N/A</v>
      </c>
      <c r="CC54" s="599"/>
      <c r="CD54" s="268"/>
      <c r="CE54" s="268"/>
      <c r="CF54" s="268"/>
      <c r="CG54" s="268"/>
      <c r="CH54" s="268"/>
      <c r="CI54" s="268"/>
      <c r="CJ54" s="268"/>
      <c r="CK54" s="268"/>
      <c r="CL54" s="268"/>
      <c r="CM54" s="268"/>
      <c r="CN54" s="268"/>
      <c r="CO54" s="268"/>
      <c r="CP54" s="268"/>
      <c r="CQ54" s="268"/>
      <c r="CR54" s="268"/>
      <c r="CS54" s="268"/>
      <c r="CT54" s="268"/>
      <c r="CU54" s="268"/>
      <c r="CV54" s="268"/>
      <c r="CW54" s="268"/>
      <c r="CX54" s="268"/>
      <c r="CY54" s="268"/>
      <c r="CZ54" s="268"/>
      <c r="DA54" s="268"/>
      <c r="DB54" s="268"/>
      <c r="DC54" s="268"/>
      <c r="DD54" s="268"/>
      <c r="DE54" s="268"/>
      <c r="DF54" s="268"/>
      <c r="DG54" s="268"/>
      <c r="DH54" s="268"/>
      <c r="DI54" s="268"/>
      <c r="DJ54" s="268"/>
      <c r="DK54" s="268"/>
      <c r="DL54" s="268"/>
      <c r="DM54" s="268"/>
      <c r="DN54" s="268"/>
      <c r="DO54" s="268"/>
      <c r="DP54" s="268"/>
      <c r="DQ54" s="268"/>
      <c r="DR54" s="268"/>
      <c r="DS54" s="268"/>
      <c r="DT54" s="268"/>
      <c r="DU54" s="268"/>
      <c r="DV54" s="268"/>
      <c r="DW54" s="268"/>
      <c r="DX54" s="268"/>
      <c r="DY54" s="268"/>
      <c r="DZ54" s="268"/>
      <c r="EA54" s="268"/>
      <c r="EB54" s="268"/>
      <c r="EC54" s="268"/>
      <c r="ED54" s="268"/>
      <c r="EE54" s="268"/>
      <c r="EF54" s="268"/>
      <c r="EG54" s="268"/>
      <c r="EH54" s="268"/>
    </row>
    <row r="55" spans="1:138" ht="15.95" outlineLevel="1">
      <c r="A55" s="474"/>
      <c r="B55" s="609"/>
      <c r="C55" s="294" t="s">
        <v>285</v>
      </c>
      <c r="D55" s="309">
        <v>0.11</v>
      </c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>
        <f>-SUM('Interest Calc EQ'!E19:E31)-'Interest Calc EQ'!E31</f>
        <v>0</v>
      </c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301"/>
      <c r="BN55" s="301"/>
      <c r="BO55" s="301"/>
      <c r="BP55" s="301"/>
      <c r="BQ55" s="301"/>
      <c r="BR55" s="301"/>
      <c r="BS55" s="301"/>
      <c r="BT55" s="301"/>
      <c r="BU55" s="301"/>
      <c r="BV55" s="301"/>
      <c r="BW55" s="301"/>
      <c r="BX55" s="301"/>
      <c r="BY55" s="310">
        <f t="shared" ref="BY55:BY61" si="28">SUM(E55:BX55)</f>
        <v>0</v>
      </c>
      <c r="BZ55" s="599"/>
      <c r="CA55" s="268"/>
      <c r="CB55" s="293" t="e">
        <f t="shared" ref="CB55:CB58" ca="1" si="29">SUM(INDEX(AC55:BX55, , 1):INDEX(AC55:BX55, ,MATCH(CB11, E10:BX10,0) ))</f>
        <v>#N/A</v>
      </c>
      <c r="CC55" s="599"/>
      <c r="CD55" s="268"/>
      <c r="CE55" s="268"/>
      <c r="CF55" s="268"/>
      <c r="CG55" s="268"/>
      <c r="CH55" s="268"/>
      <c r="CI55" s="268"/>
      <c r="CJ55" s="268"/>
      <c r="CK55" s="268"/>
      <c r="CL55" s="268"/>
      <c r="CM55" s="268"/>
      <c r="CN55" s="268"/>
      <c r="CO55" s="268"/>
      <c r="CP55" s="268"/>
      <c r="CQ55" s="268"/>
      <c r="CR55" s="268"/>
      <c r="CS55" s="268"/>
      <c r="CT55" s="268"/>
      <c r="CU55" s="268"/>
      <c r="CV55" s="268"/>
      <c r="CW55" s="268"/>
      <c r="CX55" s="268"/>
      <c r="CY55" s="268"/>
      <c r="CZ55" s="268"/>
      <c r="DA55" s="268"/>
      <c r="DB55" s="268"/>
      <c r="DC55" s="268"/>
      <c r="DD55" s="268"/>
      <c r="DE55" s="268"/>
      <c r="DF55" s="268"/>
      <c r="DG55" s="268"/>
      <c r="DH55" s="268"/>
      <c r="DI55" s="268"/>
      <c r="DJ55" s="268"/>
      <c r="DK55" s="268"/>
      <c r="DL55" s="268"/>
      <c r="DM55" s="268"/>
      <c r="DN55" s="268"/>
      <c r="DO55" s="268"/>
      <c r="DP55" s="268"/>
      <c r="DQ55" s="268"/>
      <c r="DR55" s="268"/>
      <c r="DS55" s="268"/>
      <c r="DT55" s="268"/>
      <c r="DU55" s="268"/>
      <c r="DV55" s="268"/>
      <c r="DW55" s="268"/>
      <c r="DX55" s="268"/>
      <c r="DY55" s="268"/>
      <c r="DZ55" s="268"/>
      <c r="EA55" s="268"/>
      <c r="EB55" s="268"/>
      <c r="EC55" s="268"/>
      <c r="ED55" s="268"/>
      <c r="EE55" s="268"/>
      <c r="EF55" s="268"/>
      <c r="EG55" s="268"/>
      <c r="EH55" s="268"/>
    </row>
    <row r="56" spans="1:138" ht="15.95" outlineLevel="1">
      <c r="A56" s="474"/>
      <c r="B56" s="609"/>
      <c r="C56" s="294" t="s">
        <v>286</v>
      </c>
      <c r="D56" s="309">
        <v>0.11</v>
      </c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>
        <f>-SUM('Interest Calc EQ'!J22:J31)-'Interest Calc EQ'!J31</f>
        <v>-1801250.0000000002</v>
      </c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301"/>
      <c r="BN56" s="301"/>
      <c r="BO56" s="301"/>
      <c r="BP56" s="301"/>
      <c r="BQ56" s="301"/>
      <c r="BR56" s="301"/>
      <c r="BS56" s="301"/>
      <c r="BT56" s="301"/>
      <c r="BU56" s="301"/>
      <c r="BV56" s="301"/>
      <c r="BW56" s="301"/>
      <c r="BX56" s="301"/>
      <c r="BY56" s="311">
        <f t="shared" si="28"/>
        <v>-1801250.0000000002</v>
      </c>
      <c r="BZ56" s="599"/>
      <c r="CA56" s="268"/>
      <c r="CB56" s="293" t="e">
        <f t="shared" ca="1" si="29"/>
        <v>#REF!</v>
      </c>
      <c r="CC56" s="599"/>
      <c r="CD56" s="268"/>
      <c r="CE56" s="268"/>
      <c r="CF56" s="268"/>
      <c r="CG56" s="268"/>
      <c r="CH56" s="268"/>
      <c r="CI56" s="268"/>
      <c r="CJ56" s="268"/>
      <c r="CK56" s="268"/>
      <c r="CL56" s="268"/>
      <c r="CM56" s="268"/>
      <c r="CN56" s="268"/>
      <c r="CO56" s="268"/>
      <c r="CP56" s="268"/>
      <c r="CQ56" s="268"/>
      <c r="CR56" s="268"/>
      <c r="CS56" s="268"/>
      <c r="CT56" s="268"/>
      <c r="CU56" s="268"/>
      <c r="CV56" s="268"/>
      <c r="CW56" s="268"/>
      <c r="CX56" s="268"/>
      <c r="CY56" s="268"/>
      <c r="CZ56" s="268"/>
      <c r="DA56" s="268"/>
      <c r="DB56" s="268"/>
      <c r="DC56" s="268"/>
      <c r="DD56" s="268"/>
      <c r="DE56" s="268"/>
      <c r="DF56" s="268"/>
      <c r="DG56" s="268"/>
      <c r="DH56" s="268"/>
      <c r="DI56" s="268"/>
      <c r="DJ56" s="268"/>
      <c r="DK56" s="268"/>
      <c r="DL56" s="268"/>
      <c r="DM56" s="268"/>
      <c r="DN56" s="268"/>
      <c r="DO56" s="268"/>
      <c r="DP56" s="268"/>
      <c r="DQ56" s="268"/>
      <c r="DR56" s="268"/>
      <c r="DS56" s="268"/>
      <c r="DT56" s="268"/>
      <c r="DU56" s="268"/>
      <c r="DV56" s="268"/>
      <c r="DW56" s="268"/>
      <c r="DX56" s="268"/>
      <c r="DY56" s="268"/>
      <c r="DZ56" s="268"/>
      <c r="EA56" s="268"/>
      <c r="EB56" s="268"/>
      <c r="EC56" s="268"/>
      <c r="ED56" s="268"/>
      <c r="EE56" s="268"/>
      <c r="EF56" s="268"/>
      <c r="EG56" s="268"/>
      <c r="EH56" s="268"/>
    </row>
    <row r="57" spans="1:138" ht="15.95" outlineLevel="1">
      <c r="A57" s="474"/>
      <c r="B57" s="609"/>
      <c r="C57" s="294" t="s">
        <v>287</v>
      </c>
      <c r="D57" s="309">
        <v>0.11</v>
      </c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301"/>
      <c r="BN57" s="301"/>
      <c r="BO57" s="301"/>
      <c r="BP57" s="301"/>
      <c r="BQ57" s="301"/>
      <c r="BR57" s="301"/>
      <c r="BS57" s="301"/>
      <c r="BT57" s="301"/>
      <c r="BU57" s="301"/>
      <c r="BV57" s="301"/>
      <c r="BW57" s="301"/>
      <c r="BX57" s="301"/>
      <c r="BY57" s="311">
        <f t="shared" si="28"/>
        <v>0</v>
      </c>
      <c r="BZ57" s="599"/>
      <c r="CA57" s="268"/>
      <c r="CB57" s="293" t="e">
        <f t="shared" ca="1" si="29"/>
        <v>#N/A</v>
      </c>
      <c r="CC57" s="599"/>
      <c r="CD57" s="268"/>
      <c r="CE57" s="268"/>
      <c r="CF57" s="268"/>
      <c r="CG57" s="268"/>
      <c r="CH57" s="268"/>
      <c r="CI57" s="268"/>
      <c r="CJ57" s="268"/>
      <c r="CK57" s="268"/>
      <c r="CL57" s="268"/>
      <c r="CM57" s="268"/>
      <c r="CN57" s="268"/>
      <c r="CO57" s="268"/>
      <c r="CP57" s="268"/>
      <c r="CQ57" s="268"/>
      <c r="CR57" s="268"/>
      <c r="CS57" s="268"/>
      <c r="CT57" s="268"/>
      <c r="CU57" s="268"/>
      <c r="CV57" s="268"/>
      <c r="CW57" s="268"/>
      <c r="CX57" s="268"/>
      <c r="CY57" s="268"/>
      <c r="CZ57" s="268"/>
      <c r="DA57" s="268"/>
      <c r="DB57" s="268"/>
      <c r="DC57" s="268"/>
      <c r="DD57" s="268"/>
      <c r="DE57" s="268"/>
      <c r="DF57" s="268"/>
      <c r="DG57" s="268"/>
      <c r="DH57" s="268"/>
      <c r="DI57" s="268"/>
      <c r="DJ57" s="268"/>
      <c r="DK57" s="268"/>
      <c r="DL57" s="268"/>
      <c r="DM57" s="268"/>
      <c r="DN57" s="268"/>
      <c r="DO57" s="268"/>
      <c r="DP57" s="268"/>
      <c r="DQ57" s="268"/>
      <c r="DR57" s="268"/>
      <c r="DS57" s="268"/>
      <c r="DT57" s="268"/>
      <c r="DU57" s="268"/>
      <c r="DV57" s="268"/>
      <c r="DW57" s="268"/>
      <c r="DX57" s="268"/>
      <c r="DY57" s="268"/>
      <c r="DZ57" s="268"/>
      <c r="EA57" s="268"/>
      <c r="EB57" s="268"/>
      <c r="EC57" s="268"/>
      <c r="ED57" s="268"/>
      <c r="EE57" s="268"/>
      <c r="EF57" s="268"/>
      <c r="EG57" s="268"/>
      <c r="EH57" s="268"/>
    </row>
    <row r="58" spans="1:138" ht="15.95" outlineLevel="1">
      <c r="A58" s="474"/>
      <c r="B58" s="609"/>
      <c r="C58" s="294" t="s">
        <v>288</v>
      </c>
      <c r="D58" s="309">
        <v>0.11</v>
      </c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301"/>
      <c r="BN58" s="301"/>
      <c r="BO58" s="301"/>
      <c r="BP58" s="301"/>
      <c r="BQ58" s="301"/>
      <c r="BR58" s="301"/>
      <c r="BS58" s="301"/>
      <c r="BT58" s="301"/>
      <c r="BU58" s="301"/>
      <c r="BV58" s="301"/>
      <c r="BW58" s="301"/>
      <c r="BX58" s="301"/>
      <c r="BY58" s="311">
        <f t="shared" si="28"/>
        <v>0</v>
      </c>
      <c r="BZ58" s="599"/>
      <c r="CA58" s="268"/>
      <c r="CB58" s="293" t="e">
        <f t="shared" ca="1" si="29"/>
        <v>#REF!</v>
      </c>
      <c r="CC58" s="599"/>
      <c r="CD58" s="268"/>
      <c r="CE58" s="268"/>
      <c r="CF58" s="268"/>
      <c r="CG58" s="268"/>
      <c r="CH58" s="268"/>
      <c r="CI58" s="268"/>
      <c r="CJ58" s="268"/>
      <c r="CK58" s="268"/>
      <c r="CL58" s="268"/>
      <c r="CM58" s="268"/>
      <c r="CN58" s="268"/>
      <c r="CO58" s="268"/>
      <c r="CP58" s="268"/>
      <c r="CQ58" s="268"/>
      <c r="CR58" s="268"/>
      <c r="CS58" s="268"/>
      <c r="CT58" s="268"/>
      <c r="CU58" s="268"/>
      <c r="CV58" s="268"/>
      <c r="CW58" s="268"/>
      <c r="CX58" s="268"/>
      <c r="CY58" s="268"/>
      <c r="CZ58" s="268"/>
      <c r="DA58" s="268"/>
      <c r="DB58" s="268"/>
      <c r="DC58" s="268"/>
      <c r="DD58" s="268"/>
      <c r="DE58" s="268"/>
      <c r="DF58" s="268"/>
      <c r="DG58" s="268"/>
      <c r="DH58" s="268"/>
      <c r="DI58" s="268"/>
      <c r="DJ58" s="268"/>
      <c r="DK58" s="268"/>
      <c r="DL58" s="268"/>
      <c r="DM58" s="268"/>
      <c r="DN58" s="268"/>
      <c r="DO58" s="268"/>
      <c r="DP58" s="268"/>
      <c r="DQ58" s="268"/>
      <c r="DR58" s="268"/>
      <c r="DS58" s="268"/>
      <c r="DT58" s="268"/>
      <c r="DU58" s="268"/>
      <c r="DV58" s="268"/>
      <c r="DW58" s="268"/>
      <c r="DX58" s="268"/>
      <c r="DY58" s="268"/>
      <c r="DZ58" s="268"/>
      <c r="EA58" s="268"/>
      <c r="EB58" s="268"/>
      <c r="EC58" s="268"/>
      <c r="ED58" s="268"/>
      <c r="EE58" s="268"/>
      <c r="EF58" s="268"/>
      <c r="EG58" s="268"/>
      <c r="EH58" s="268"/>
    </row>
    <row r="59" spans="1:138" ht="15.95" outlineLevel="1">
      <c r="A59" s="474"/>
      <c r="B59" s="609"/>
      <c r="C59" s="294" t="s">
        <v>289</v>
      </c>
      <c r="D59" s="309">
        <v>0.15</v>
      </c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301"/>
      <c r="BN59" s="301"/>
      <c r="BO59" s="301"/>
      <c r="BP59" s="301"/>
      <c r="BQ59" s="301"/>
      <c r="BR59" s="301"/>
      <c r="BS59" s="301"/>
      <c r="BT59" s="301"/>
      <c r="BU59" s="301"/>
      <c r="BV59" s="301"/>
      <c r="BW59" s="301"/>
      <c r="BX59" s="301"/>
      <c r="BY59" s="312">
        <f t="shared" si="28"/>
        <v>0</v>
      </c>
      <c r="BZ59" s="599"/>
      <c r="CA59" s="268"/>
      <c r="CB59" s="293" t="e">
        <f t="array" aca="1" ref="CB59" ca="1">SUM(INDEX(AC59:BX59, , 1):INDEX(AC59:BX59, ,MATCH(CB16, E14:BX14,0) ))</f>
        <v>#N/A</v>
      </c>
      <c r="CC59" s="599"/>
      <c r="CD59" s="268"/>
      <c r="CE59" s="268"/>
      <c r="CF59" s="268"/>
      <c r="CG59" s="268"/>
      <c r="CH59" s="268"/>
      <c r="CI59" s="268"/>
      <c r="CJ59" s="268"/>
      <c r="CK59" s="268"/>
      <c r="CL59" s="268"/>
      <c r="CM59" s="268"/>
      <c r="CN59" s="268"/>
      <c r="CO59" s="268"/>
      <c r="CP59" s="268"/>
      <c r="CQ59" s="268"/>
      <c r="CR59" s="268"/>
      <c r="CS59" s="268"/>
      <c r="CT59" s="268"/>
      <c r="CU59" s="268"/>
      <c r="CV59" s="268"/>
      <c r="CW59" s="268"/>
      <c r="CX59" s="268"/>
      <c r="CY59" s="268"/>
      <c r="CZ59" s="268"/>
      <c r="DA59" s="268"/>
      <c r="DB59" s="268"/>
      <c r="DC59" s="268"/>
      <c r="DD59" s="268"/>
      <c r="DE59" s="268"/>
      <c r="DF59" s="268"/>
      <c r="DG59" s="268"/>
      <c r="DH59" s="268"/>
      <c r="DI59" s="268"/>
      <c r="DJ59" s="268"/>
      <c r="DK59" s="268"/>
      <c r="DL59" s="268"/>
      <c r="DM59" s="268"/>
      <c r="DN59" s="268"/>
      <c r="DO59" s="268"/>
      <c r="DP59" s="268"/>
      <c r="DQ59" s="268"/>
      <c r="DR59" s="268"/>
      <c r="DS59" s="268"/>
      <c r="DT59" s="268"/>
      <c r="DU59" s="268"/>
      <c r="DV59" s="268"/>
      <c r="DW59" s="268"/>
      <c r="DX59" s="268"/>
      <c r="DY59" s="268"/>
      <c r="DZ59" s="268"/>
      <c r="EA59" s="268"/>
      <c r="EB59" s="268"/>
      <c r="EC59" s="268"/>
      <c r="ED59" s="268"/>
      <c r="EE59" s="268"/>
      <c r="EF59" s="268"/>
      <c r="EG59" s="268"/>
      <c r="EH59" s="268"/>
    </row>
    <row r="60" spans="1:138" ht="15.95" outlineLevel="1">
      <c r="A60" s="474"/>
      <c r="B60" s="609"/>
      <c r="C60" s="294" t="s">
        <v>290</v>
      </c>
      <c r="D60" s="313">
        <f>25%/12</f>
        <v>2.0833333333333332E-2</v>
      </c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299"/>
      <c r="Z60" s="299"/>
      <c r="AA60" s="299"/>
      <c r="AB60" s="299"/>
      <c r="AC60" s="299"/>
      <c r="AD60" s="299"/>
      <c r="AE60" s="299"/>
      <c r="AF60" s="299"/>
      <c r="AG60" s="299"/>
      <c r="AH60" s="299"/>
      <c r="AI60" s="299"/>
      <c r="AJ60" s="299"/>
      <c r="AK60" s="299"/>
      <c r="AL60" s="299"/>
      <c r="AM60" s="299"/>
      <c r="AN60" s="299"/>
      <c r="AO60" s="299"/>
      <c r="AP60" s="299"/>
      <c r="AQ60" s="299"/>
      <c r="AR60" s="299"/>
      <c r="AS60" s="299"/>
      <c r="AT60" s="299"/>
      <c r="AU60" s="299"/>
      <c r="AV60" s="299"/>
      <c r="AW60" s="299"/>
      <c r="AX60" s="299"/>
      <c r="AY60" s="299"/>
      <c r="AZ60" s="299"/>
      <c r="BA60" s="299"/>
      <c r="BB60" s="299"/>
      <c r="BC60" s="299"/>
      <c r="BD60" s="299"/>
      <c r="BE60" s="299"/>
      <c r="BF60" s="299"/>
      <c r="BG60" s="299"/>
      <c r="BH60" s="299"/>
      <c r="BI60" s="299"/>
      <c r="BJ60" s="299"/>
      <c r="BK60" s="299"/>
      <c r="BL60" s="296"/>
      <c r="BM60" s="301"/>
      <c r="BN60" s="301"/>
      <c r="BO60" s="301"/>
      <c r="BP60" s="301"/>
      <c r="BQ60" s="301"/>
      <c r="BR60" s="301"/>
      <c r="BS60" s="301"/>
      <c r="BT60" s="301"/>
      <c r="BU60" s="301"/>
      <c r="BV60" s="301"/>
      <c r="BW60" s="301"/>
      <c r="BX60" s="301"/>
      <c r="BY60" s="312">
        <f t="shared" si="28"/>
        <v>0</v>
      </c>
      <c r="BZ60" s="599"/>
      <c r="CA60" s="268"/>
      <c r="CB60" s="293" t="e">
        <f t="shared" ref="CB60:CB61" ca="1" si="30">SUM(INDEX(AC60:BX60, , 1):INDEX(AC60:BX60, ,MATCH(CB17, E16:BX16,0) ))</f>
        <v>#REF!</v>
      </c>
      <c r="CC60" s="599"/>
      <c r="CD60" s="268"/>
      <c r="CE60" s="268"/>
      <c r="CF60" s="268"/>
      <c r="CG60" s="268"/>
      <c r="CH60" s="268"/>
      <c r="CI60" s="268"/>
      <c r="CJ60" s="268"/>
      <c r="CK60" s="268"/>
      <c r="CL60" s="268"/>
      <c r="CM60" s="268"/>
      <c r="CN60" s="268"/>
      <c r="CO60" s="268"/>
      <c r="CP60" s="268"/>
      <c r="CQ60" s="268"/>
      <c r="CR60" s="268"/>
      <c r="CS60" s="268"/>
      <c r="CT60" s="268"/>
      <c r="CU60" s="268"/>
      <c r="CV60" s="268"/>
      <c r="CW60" s="268"/>
      <c r="CX60" s="268"/>
      <c r="CY60" s="268"/>
      <c r="CZ60" s="268"/>
      <c r="DA60" s="268"/>
      <c r="DB60" s="268"/>
      <c r="DC60" s="268"/>
      <c r="DD60" s="268"/>
      <c r="DE60" s="268"/>
      <c r="DF60" s="268"/>
      <c r="DG60" s="268"/>
      <c r="DH60" s="268"/>
      <c r="DI60" s="268"/>
      <c r="DJ60" s="268"/>
      <c r="DK60" s="268"/>
      <c r="DL60" s="268"/>
      <c r="DM60" s="268"/>
      <c r="DN60" s="268"/>
      <c r="DO60" s="268"/>
      <c r="DP60" s="268"/>
      <c r="DQ60" s="268"/>
      <c r="DR60" s="268"/>
      <c r="DS60" s="268"/>
      <c r="DT60" s="268"/>
      <c r="DU60" s="268"/>
      <c r="DV60" s="268"/>
      <c r="DW60" s="268"/>
      <c r="DX60" s="268"/>
      <c r="DY60" s="268"/>
      <c r="DZ60" s="268"/>
      <c r="EA60" s="268"/>
      <c r="EB60" s="268"/>
      <c r="EC60" s="268"/>
      <c r="ED60" s="268"/>
      <c r="EE60" s="268"/>
      <c r="EF60" s="268"/>
      <c r="EG60" s="268"/>
      <c r="EH60" s="268"/>
    </row>
    <row r="61" spans="1:138" ht="15.95" outlineLevel="1">
      <c r="A61" s="474"/>
      <c r="B61" s="609"/>
      <c r="C61" s="511" t="s">
        <v>291</v>
      </c>
      <c r="D61" s="512">
        <v>7.0000000000000007E-2</v>
      </c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>
        <f>-U11*D61/12</f>
        <v>-72916.666666666672</v>
      </c>
      <c r="V61" s="314">
        <f t="shared" ref="V61:AC61" si="31">-SUM($U$11:V11)*$D$61/12</f>
        <v>-157500.00000000003</v>
      </c>
      <c r="W61" s="314">
        <f t="shared" si="31"/>
        <v>-242083.33333333337</v>
      </c>
      <c r="X61" s="314">
        <f t="shared" si="31"/>
        <v>-326666.66666666669</v>
      </c>
      <c r="Y61" s="314">
        <f t="shared" si="31"/>
        <v>-411250.00000000006</v>
      </c>
      <c r="Z61" s="314">
        <f t="shared" si="31"/>
        <v>-495833.33333333343</v>
      </c>
      <c r="AA61" s="314">
        <f t="shared" si="31"/>
        <v>-580416.66666666674</v>
      </c>
      <c r="AB61" s="314">
        <f t="shared" si="31"/>
        <v>-665000.00000000012</v>
      </c>
      <c r="AC61" s="314">
        <f t="shared" si="31"/>
        <v>-665000.00000000012</v>
      </c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/>
      <c r="AR61" s="314"/>
      <c r="AS61" s="314"/>
      <c r="AT61" s="314"/>
      <c r="AU61" s="314"/>
      <c r="AV61" s="314"/>
      <c r="AW61" s="314"/>
      <c r="AX61" s="314"/>
      <c r="AY61" s="314"/>
      <c r="AZ61" s="314"/>
      <c r="BA61" s="314"/>
      <c r="BB61" s="314"/>
      <c r="BC61" s="314"/>
      <c r="BD61" s="314"/>
      <c r="BE61" s="314"/>
      <c r="BF61" s="314"/>
      <c r="BG61" s="314"/>
      <c r="BH61" s="314"/>
      <c r="BI61" s="314"/>
      <c r="BJ61" s="314"/>
      <c r="BK61" s="314"/>
      <c r="BL61" s="314"/>
      <c r="BM61" s="315"/>
      <c r="BN61" s="315"/>
      <c r="BO61" s="315"/>
      <c r="BP61" s="315"/>
      <c r="BQ61" s="315"/>
      <c r="BR61" s="315"/>
      <c r="BS61" s="315"/>
      <c r="BT61" s="315"/>
      <c r="BU61" s="315"/>
      <c r="BV61" s="315"/>
      <c r="BW61" s="315"/>
      <c r="BX61" s="315"/>
      <c r="BY61" s="316">
        <f t="shared" si="28"/>
        <v>-3616666.666666667</v>
      </c>
      <c r="BZ61" s="599"/>
      <c r="CA61" s="268"/>
      <c r="CB61" s="293" t="e">
        <f t="shared" ca="1" si="30"/>
        <v>#N/A</v>
      </c>
      <c r="CC61" s="599"/>
      <c r="CD61" s="268"/>
      <c r="CE61" s="268"/>
      <c r="CF61" s="268"/>
      <c r="CG61" s="268"/>
      <c r="CH61" s="268"/>
      <c r="CI61" s="268"/>
      <c r="CJ61" s="268"/>
      <c r="CK61" s="268"/>
      <c r="CL61" s="268"/>
      <c r="CM61" s="268"/>
      <c r="CN61" s="268"/>
      <c r="CO61" s="268"/>
      <c r="CP61" s="268"/>
      <c r="CQ61" s="268"/>
      <c r="CR61" s="268"/>
      <c r="CS61" s="268"/>
      <c r="CT61" s="268"/>
      <c r="CU61" s="268"/>
      <c r="CV61" s="268"/>
      <c r="CW61" s="268"/>
      <c r="CX61" s="268"/>
      <c r="CY61" s="268"/>
      <c r="CZ61" s="268"/>
      <c r="DA61" s="268"/>
      <c r="DB61" s="268"/>
      <c r="DC61" s="268"/>
      <c r="DD61" s="268"/>
      <c r="DE61" s="268"/>
      <c r="DF61" s="268"/>
      <c r="DG61" s="268"/>
      <c r="DH61" s="268"/>
      <c r="DI61" s="268"/>
      <c r="DJ61" s="268"/>
      <c r="DK61" s="268"/>
      <c r="DL61" s="268"/>
      <c r="DM61" s="268"/>
      <c r="DN61" s="268"/>
      <c r="DO61" s="268"/>
      <c r="DP61" s="268"/>
      <c r="DQ61" s="268"/>
      <c r="DR61" s="268"/>
      <c r="DS61" s="268"/>
      <c r="DT61" s="268"/>
      <c r="DU61" s="268"/>
      <c r="DV61" s="268"/>
      <c r="DW61" s="268"/>
      <c r="DX61" s="268"/>
      <c r="DY61" s="268"/>
      <c r="DZ61" s="268"/>
      <c r="EA61" s="268"/>
      <c r="EB61" s="268"/>
      <c r="EC61" s="268"/>
      <c r="ED61" s="268"/>
      <c r="EE61" s="268"/>
      <c r="EF61" s="268"/>
      <c r="EG61" s="268"/>
      <c r="EH61" s="268"/>
    </row>
    <row r="62" spans="1:138" ht="15.95">
      <c r="A62" s="474"/>
      <c r="B62" s="609"/>
      <c r="C62" s="289" t="s">
        <v>292</v>
      </c>
      <c r="D62" s="290"/>
      <c r="E62" s="291">
        <f t="shared" ref="E62:BY62" si="32">SUM(E63:E85)</f>
        <v>0</v>
      </c>
      <c r="F62" s="291">
        <f t="shared" si="32"/>
        <v>0</v>
      </c>
      <c r="G62" s="291">
        <f t="shared" si="32"/>
        <v>0</v>
      </c>
      <c r="H62" s="291">
        <f t="shared" si="32"/>
        <v>0</v>
      </c>
      <c r="I62" s="291">
        <f t="shared" si="32"/>
        <v>0</v>
      </c>
      <c r="J62" s="291">
        <f t="shared" si="32"/>
        <v>0</v>
      </c>
      <c r="K62" s="291">
        <f t="shared" si="32"/>
        <v>0</v>
      </c>
      <c r="L62" s="291">
        <f t="shared" si="32"/>
        <v>0</v>
      </c>
      <c r="M62" s="291">
        <f t="shared" si="32"/>
        <v>0</v>
      </c>
      <c r="N62" s="291">
        <f t="shared" si="32"/>
        <v>0</v>
      </c>
      <c r="O62" s="291">
        <f t="shared" si="32"/>
        <v>0</v>
      </c>
      <c r="P62" s="291">
        <f t="shared" si="32"/>
        <v>0</v>
      </c>
      <c r="Q62" s="291">
        <f t="shared" si="32"/>
        <v>0</v>
      </c>
      <c r="R62" s="291">
        <f t="shared" si="32"/>
        <v>0</v>
      </c>
      <c r="S62" s="291">
        <f t="shared" si="32"/>
        <v>0</v>
      </c>
      <c r="T62" s="291">
        <f t="shared" si="32"/>
        <v>0</v>
      </c>
      <c r="U62" s="291">
        <f t="shared" si="32"/>
        <v>0</v>
      </c>
      <c r="V62" s="291">
        <f t="shared" si="32"/>
        <v>0</v>
      </c>
      <c r="W62" s="291">
        <f t="shared" si="32"/>
        <v>0</v>
      </c>
      <c r="X62" s="291">
        <f t="shared" si="32"/>
        <v>0</v>
      </c>
      <c r="Y62" s="291">
        <f t="shared" si="32"/>
        <v>0</v>
      </c>
      <c r="Z62" s="291">
        <f t="shared" si="32"/>
        <v>0</v>
      </c>
      <c r="AA62" s="291">
        <f t="shared" si="32"/>
        <v>0</v>
      </c>
      <c r="AB62" s="291">
        <f t="shared" si="32"/>
        <v>0</v>
      </c>
      <c r="AC62" s="291">
        <f t="shared" si="32"/>
        <v>-125504</v>
      </c>
      <c r="AD62" s="291">
        <f t="shared" si="32"/>
        <v>0</v>
      </c>
      <c r="AE62" s="291">
        <f t="shared" si="32"/>
        <v>0</v>
      </c>
      <c r="AF62" s="291">
        <f t="shared" si="32"/>
        <v>0</v>
      </c>
      <c r="AG62" s="291">
        <f t="shared" si="32"/>
        <v>0</v>
      </c>
      <c r="AH62" s="291">
        <f t="shared" si="32"/>
        <v>0</v>
      </c>
      <c r="AI62" s="291">
        <f t="shared" si="32"/>
        <v>0</v>
      </c>
      <c r="AJ62" s="291">
        <f t="shared" si="32"/>
        <v>0</v>
      </c>
      <c r="AK62" s="291">
        <f t="shared" si="32"/>
        <v>0</v>
      </c>
      <c r="AL62" s="291">
        <f t="shared" si="32"/>
        <v>0</v>
      </c>
      <c r="AM62" s="291">
        <f t="shared" si="32"/>
        <v>0</v>
      </c>
      <c r="AN62" s="291">
        <f t="shared" si="32"/>
        <v>0</v>
      </c>
      <c r="AO62" s="291">
        <f t="shared" si="32"/>
        <v>0</v>
      </c>
      <c r="AP62" s="291">
        <f t="shared" si="32"/>
        <v>0</v>
      </c>
      <c r="AQ62" s="291">
        <f t="shared" si="32"/>
        <v>0</v>
      </c>
      <c r="AR62" s="291">
        <f t="shared" si="32"/>
        <v>0</v>
      </c>
      <c r="AS62" s="291">
        <f t="shared" si="32"/>
        <v>0</v>
      </c>
      <c r="AT62" s="291">
        <f t="shared" si="32"/>
        <v>0</v>
      </c>
      <c r="AU62" s="291">
        <f t="shared" si="32"/>
        <v>0</v>
      </c>
      <c r="AV62" s="291">
        <f t="shared" si="32"/>
        <v>0</v>
      </c>
      <c r="AW62" s="291">
        <f t="shared" si="32"/>
        <v>0</v>
      </c>
      <c r="AX62" s="291">
        <f t="shared" si="32"/>
        <v>0</v>
      </c>
      <c r="AY62" s="291">
        <f t="shared" si="32"/>
        <v>0</v>
      </c>
      <c r="AZ62" s="291">
        <f t="shared" si="32"/>
        <v>0</v>
      </c>
      <c r="BA62" s="291">
        <f t="shared" si="32"/>
        <v>0</v>
      </c>
      <c r="BB62" s="291">
        <f t="shared" si="32"/>
        <v>0</v>
      </c>
      <c r="BC62" s="291">
        <f t="shared" si="32"/>
        <v>0</v>
      </c>
      <c r="BD62" s="291">
        <f t="shared" si="32"/>
        <v>0</v>
      </c>
      <c r="BE62" s="291">
        <f t="shared" si="32"/>
        <v>0</v>
      </c>
      <c r="BF62" s="291">
        <f t="shared" si="32"/>
        <v>0</v>
      </c>
      <c r="BG62" s="291">
        <f t="shared" si="32"/>
        <v>0</v>
      </c>
      <c r="BH62" s="291">
        <f t="shared" si="32"/>
        <v>0</v>
      </c>
      <c r="BI62" s="291">
        <f t="shared" si="32"/>
        <v>0</v>
      </c>
      <c r="BJ62" s="291">
        <f t="shared" si="32"/>
        <v>0</v>
      </c>
      <c r="BK62" s="291">
        <f t="shared" si="32"/>
        <v>0</v>
      </c>
      <c r="BL62" s="291">
        <f t="shared" si="32"/>
        <v>0</v>
      </c>
      <c r="BM62" s="291">
        <f t="shared" si="32"/>
        <v>0</v>
      </c>
      <c r="BN62" s="291">
        <f t="shared" si="32"/>
        <v>0</v>
      </c>
      <c r="BO62" s="291">
        <f t="shared" si="32"/>
        <v>0</v>
      </c>
      <c r="BP62" s="291">
        <f t="shared" si="32"/>
        <v>0</v>
      </c>
      <c r="BQ62" s="291">
        <f t="shared" si="32"/>
        <v>0</v>
      </c>
      <c r="BR62" s="291">
        <f t="shared" si="32"/>
        <v>0</v>
      </c>
      <c r="BS62" s="291">
        <f t="shared" si="32"/>
        <v>0</v>
      </c>
      <c r="BT62" s="291">
        <f t="shared" si="32"/>
        <v>0</v>
      </c>
      <c r="BU62" s="291">
        <f t="shared" si="32"/>
        <v>0</v>
      </c>
      <c r="BV62" s="291">
        <f t="shared" si="32"/>
        <v>0</v>
      </c>
      <c r="BW62" s="291">
        <f t="shared" si="32"/>
        <v>0</v>
      </c>
      <c r="BX62" s="291">
        <f t="shared" si="32"/>
        <v>0</v>
      </c>
      <c r="BY62" s="292">
        <f t="shared" si="32"/>
        <v>-125504</v>
      </c>
      <c r="BZ62" s="599"/>
      <c r="CA62" s="268"/>
      <c r="CB62" s="293" t="e">
        <f t="array" aca="1" ref="CB62" ca="1">SUM(INDEX(E62:BX62, , 1):INDEX(E62:BX62, ,MATCH($CB$4, $E$3:$BX$3,0) ))</f>
        <v>#N/A</v>
      </c>
      <c r="CC62" s="599"/>
      <c r="CD62" s="268"/>
      <c r="CE62" s="268"/>
      <c r="CF62" s="268"/>
      <c r="CG62" s="268"/>
      <c r="CH62" s="268"/>
      <c r="CI62" s="268"/>
      <c r="CJ62" s="268"/>
      <c r="CK62" s="268"/>
      <c r="CL62" s="268"/>
      <c r="CM62" s="268"/>
      <c r="CN62" s="268"/>
      <c r="CO62" s="268"/>
      <c r="CP62" s="268"/>
      <c r="CQ62" s="268"/>
      <c r="CR62" s="268"/>
      <c r="CS62" s="268"/>
      <c r="CT62" s="268"/>
      <c r="CU62" s="268"/>
      <c r="CV62" s="268"/>
      <c r="CW62" s="268"/>
      <c r="CX62" s="268"/>
      <c r="CY62" s="268"/>
      <c r="CZ62" s="268"/>
      <c r="DA62" s="268"/>
      <c r="DB62" s="268"/>
      <c r="DC62" s="268"/>
      <c r="DD62" s="268"/>
      <c r="DE62" s="268"/>
      <c r="DF62" s="268"/>
      <c r="DG62" s="268"/>
      <c r="DH62" s="268"/>
      <c r="DI62" s="268"/>
      <c r="DJ62" s="268"/>
      <c r="DK62" s="268"/>
      <c r="DL62" s="268"/>
      <c r="DM62" s="268"/>
      <c r="DN62" s="268"/>
      <c r="DO62" s="268"/>
      <c r="DP62" s="268"/>
      <c r="DQ62" s="268"/>
      <c r="DR62" s="268"/>
      <c r="DS62" s="268"/>
      <c r="DT62" s="268"/>
      <c r="DU62" s="268"/>
      <c r="DV62" s="268"/>
      <c r="DW62" s="268"/>
      <c r="DX62" s="268"/>
      <c r="DY62" s="268"/>
      <c r="DZ62" s="268"/>
      <c r="EA62" s="268"/>
      <c r="EB62" s="268"/>
      <c r="EC62" s="268"/>
      <c r="ED62" s="268"/>
      <c r="EE62" s="268"/>
      <c r="EF62" s="268"/>
      <c r="EG62" s="268"/>
      <c r="EH62" s="268"/>
    </row>
    <row r="63" spans="1:138" ht="15.95" outlineLevel="1">
      <c r="A63" s="474"/>
      <c r="B63" s="609"/>
      <c r="C63" s="317" t="s">
        <v>293</v>
      </c>
      <c r="D63" s="295" t="s">
        <v>245</v>
      </c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H63" s="318"/>
      <c r="AI63" s="318"/>
      <c r="AJ63" s="318"/>
      <c r="AK63" s="318"/>
      <c r="AL63" s="318"/>
      <c r="AM63" s="318"/>
      <c r="AN63" s="318"/>
      <c r="AO63" s="318"/>
      <c r="AP63" s="318"/>
      <c r="AQ63" s="318"/>
      <c r="AR63" s="318"/>
      <c r="AS63" s="318"/>
      <c r="AT63" s="318"/>
      <c r="AU63" s="318"/>
      <c r="AV63" s="318"/>
      <c r="AW63" s="318"/>
      <c r="AX63" s="318"/>
      <c r="AY63" s="318"/>
      <c r="AZ63" s="318"/>
      <c r="BA63" s="318"/>
      <c r="BB63" s="318"/>
      <c r="BC63" s="318"/>
      <c r="BD63" s="318"/>
      <c r="BE63" s="318"/>
      <c r="BF63" s="318"/>
      <c r="BG63" s="318"/>
      <c r="BH63" s="318"/>
      <c r="BI63" s="318"/>
      <c r="BJ63" s="318"/>
      <c r="BK63" s="318"/>
      <c r="BL63" s="318"/>
      <c r="BM63" s="318"/>
      <c r="BN63" s="318"/>
      <c r="BO63" s="318"/>
      <c r="BP63" s="318"/>
      <c r="BQ63" s="318"/>
      <c r="BR63" s="318"/>
      <c r="BS63" s="318"/>
      <c r="BT63" s="318"/>
      <c r="BU63" s="318"/>
      <c r="BV63" s="318"/>
      <c r="BW63" s="318"/>
      <c r="BX63" s="318"/>
      <c r="BY63" s="319">
        <f t="shared" ref="BY63:BY85" si="33">SUM(E63:BX63)</f>
        <v>0</v>
      </c>
      <c r="BZ63" s="599"/>
      <c r="CA63" s="268"/>
      <c r="CB63" s="293" t="e">
        <f t="shared" ref="CB63:CB84" ca="1" si="34">SUM(INDEX(AC63:BX63, , 1):INDEX(AC63:BX63, ,MATCH(CB20, E19:BX19,0) ))</f>
        <v>#N/A</v>
      </c>
      <c r="CC63" s="599"/>
      <c r="CD63" s="268"/>
      <c r="CE63" s="268"/>
      <c r="CF63" s="268"/>
      <c r="CG63" s="268"/>
      <c r="CH63" s="268"/>
      <c r="CI63" s="268"/>
      <c r="CJ63" s="268"/>
      <c r="CK63" s="268"/>
      <c r="CL63" s="268"/>
      <c r="CM63" s="268"/>
      <c r="CN63" s="268"/>
      <c r="CO63" s="268"/>
      <c r="CP63" s="268"/>
      <c r="CQ63" s="268"/>
      <c r="CR63" s="268"/>
      <c r="CS63" s="268"/>
      <c r="CT63" s="268"/>
      <c r="CU63" s="268"/>
      <c r="CV63" s="268"/>
      <c r="CW63" s="268"/>
      <c r="CX63" s="268"/>
      <c r="CY63" s="268"/>
      <c r="CZ63" s="268"/>
      <c r="DA63" s="268"/>
      <c r="DB63" s="268"/>
      <c r="DC63" s="268"/>
      <c r="DD63" s="268"/>
      <c r="DE63" s="268"/>
      <c r="DF63" s="268"/>
      <c r="DG63" s="268"/>
      <c r="DH63" s="268"/>
      <c r="DI63" s="268"/>
      <c r="DJ63" s="268"/>
      <c r="DK63" s="268"/>
      <c r="DL63" s="268"/>
      <c r="DM63" s="268"/>
      <c r="DN63" s="268"/>
      <c r="DO63" s="268"/>
      <c r="DP63" s="268"/>
      <c r="DQ63" s="268"/>
      <c r="DR63" s="268"/>
      <c r="DS63" s="268"/>
      <c r="DT63" s="268"/>
      <c r="DU63" s="268"/>
      <c r="DV63" s="268"/>
      <c r="DW63" s="268"/>
      <c r="DX63" s="268"/>
      <c r="DY63" s="268"/>
      <c r="DZ63" s="268"/>
      <c r="EA63" s="268"/>
      <c r="EB63" s="268"/>
      <c r="EC63" s="268"/>
      <c r="ED63" s="268"/>
      <c r="EE63" s="268"/>
      <c r="EF63" s="268"/>
      <c r="EG63" s="268"/>
      <c r="EH63" s="268"/>
    </row>
    <row r="64" spans="1:138" ht="15.95" outlineLevel="1">
      <c r="A64" s="474"/>
      <c r="B64" s="609"/>
      <c r="C64" s="320" t="s">
        <v>294</v>
      </c>
      <c r="D64" s="295" t="s">
        <v>245</v>
      </c>
      <c r="E64" s="318"/>
      <c r="F64" s="318"/>
      <c r="G64" s="318"/>
      <c r="H64" s="318"/>
      <c r="I64" s="318"/>
      <c r="J64" s="318"/>
      <c r="K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H64" s="318"/>
      <c r="AI64" s="318"/>
      <c r="AJ64" s="318"/>
      <c r="AK64" s="318"/>
      <c r="AL64" s="318"/>
      <c r="AM64" s="318"/>
      <c r="AN64" s="318"/>
      <c r="AO64" s="318"/>
      <c r="AP64" s="318"/>
      <c r="AQ64" s="318"/>
      <c r="AR64" s="318"/>
      <c r="AS64" s="318"/>
      <c r="AT64" s="318"/>
      <c r="AU64" s="318"/>
      <c r="AV64" s="318"/>
      <c r="AW64" s="318"/>
      <c r="AX64" s="318"/>
      <c r="AY64" s="318"/>
      <c r="AZ64" s="318"/>
      <c r="BA64" s="318"/>
      <c r="BB64" s="318"/>
      <c r="BC64" s="318"/>
      <c r="BD64" s="318"/>
      <c r="BE64" s="318"/>
      <c r="BF64" s="318"/>
      <c r="BG64" s="318"/>
      <c r="BH64" s="318"/>
      <c r="BI64" s="318"/>
      <c r="BJ64" s="318"/>
      <c r="BK64" s="318"/>
      <c r="BL64" s="318"/>
      <c r="BM64" s="318"/>
      <c r="BN64" s="318"/>
      <c r="BO64" s="318"/>
      <c r="BP64" s="318"/>
      <c r="BQ64" s="318"/>
      <c r="BR64" s="318"/>
      <c r="BS64" s="318"/>
      <c r="BT64" s="318"/>
      <c r="BU64" s="318"/>
      <c r="BV64" s="318"/>
      <c r="BW64" s="318"/>
      <c r="BX64" s="318"/>
      <c r="BY64" s="319">
        <f t="shared" si="33"/>
        <v>0</v>
      </c>
      <c r="BZ64" s="599"/>
      <c r="CA64" s="268"/>
      <c r="CB64" s="293" t="e">
        <f t="shared" ca="1" si="34"/>
        <v>#N/A</v>
      </c>
      <c r="CC64" s="599"/>
      <c r="CD64" s="268"/>
      <c r="CE64" s="268"/>
      <c r="CF64" s="268"/>
      <c r="CG64" s="268"/>
      <c r="CH64" s="268"/>
      <c r="CI64" s="268"/>
      <c r="CJ64" s="268"/>
      <c r="CK64" s="268"/>
      <c r="CL64" s="268"/>
      <c r="CM64" s="268"/>
      <c r="CN64" s="268"/>
      <c r="CO64" s="268"/>
      <c r="CP64" s="268"/>
      <c r="CQ64" s="268"/>
      <c r="CR64" s="268"/>
      <c r="CS64" s="268"/>
      <c r="CT64" s="268"/>
      <c r="CU64" s="268"/>
      <c r="CV64" s="268"/>
      <c r="CW64" s="268"/>
      <c r="CX64" s="268"/>
      <c r="CY64" s="268"/>
      <c r="CZ64" s="268"/>
      <c r="DA64" s="268"/>
      <c r="DB64" s="268"/>
      <c r="DC64" s="268"/>
      <c r="DD64" s="268"/>
      <c r="DE64" s="268"/>
      <c r="DF64" s="268"/>
      <c r="DG64" s="268"/>
      <c r="DH64" s="268"/>
      <c r="DI64" s="268"/>
      <c r="DJ64" s="268"/>
      <c r="DK64" s="268"/>
      <c r="DL64" s="268"/>
      <c r="DM64" s="268"/>
      <c r="DN64" s="268"/>
      <c r="DO64" s="268"/>
      <c r="DP64" s="268"/>
      <c r="DQ64" s="268"/>
      <c r="DR64" s="268"/>
      <c r="DS64" s="268"/>
      <c r="DT64" s="268"/>
      <c r="DU64" s="268"/>
      <c r="DV64" s="268"/>
      <c r="DW64" s="268"/>
      <c r="DX64" s="268"/>
      <c r="DY64" s="268"/>
      <c r="DZ64" s="268"/>
      <c r="EA64" s="268"/>
      <c r="EB64" s="268"/>
      <c r="EC64" s="268"/>
      <c r="ED64" s="268"/>
      <c r="EE64" s="268"/>
      <c r="EF64" s="268"/>
      <c r="EG64" s="268"/>
      <c r="EH64" s="268"/>
    </row>
    <row r="65" spans="1:138" ht="15.95" outlineLevel="1">
      <c r="A65" s="474"/>
      <c r="B65" s="609"/>
      <c r="C65" s="320" t="s">
        <v>295</v>
      </c>
      <c r="D65" s="295" t="s">
        <v>245</v>
      </c>
      <c r="E65" s="318"/>
      <c r="F65" s="318"/>
      <c r="G65" s="318"/>
      <c r="H65" s="318"/>
      <c r="I65" s="318"/>
      <c r="J65" s="318"/>
      <c r="K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H65" s="318"/>
      <c r="AI65" s="318"/>
      <c r="AJ65" s="318"/>
      <c r="AK65" s="318"/>
      <c r="AL65" s="318"/>
      <c r="AM65" s="318"/>
      <c r="AN65" s="318"/>
      <c r="AO65" s="318"/>
      <c r="AP65" s="318"/>
      <c r="AQ65" s="318"/>
      <c r="AR65" s="318"/>
      <c r="AS65" s="318"/>
      <c r="AT65" s="318"/>
      <c r="AU65" s="318"/>
      <c r="AV65" s="318"/>
      <c r="AW65" s="318"/>
      <c r="AX65" s="318"/>
      <c r="AY65" s="318"/>
      <c r="AZ65" s="318"/>
      <c r="BA65" s="318"/>
      <c r="BB65" s="318"/>
      <c r="BC65" s="318"/>
      <c r="BD65" s="318"/>
      <c r="BE65" s="318"/>
      <c r="BF65" s="318"/>
      <c r="BG65" s="318"/>
      <c r="BH65" s="318"/>
      <c r="BI65" s="318"/>
      <c r="BJ65" s="318"/>
      <c r="BK65" s="318"/>
      <c r="BL65" s="318"/>
      <c r="BM65" s="318"/>
      <c r="BN65" s="318"/>
      <c r="BO65" s="318"/>
      <c r="BP65" s="318"/>
      <c r="BQ65" s="318"/>
      <c r="BR65" s="318"/>
      <c r="BS65" s="318"/>
      <c r="BT65" s="318"/>
      <c r="BU65" s="318"/>
      <c r="BV65" s="318"/>
      <c r="BW65" s="318"/>
      <c r="BX65" s="318"/>
      <c r="BY65" s="319">
        <f t="shared" si="33"/>
        <v>0</v>
      </c>
      <c r="BZ65" s="599"/>
      <c r="CA65" s="268"/>
      <c r="CB65" s="293" t="e">
        <f t="shared" ca="1" si="34"/>
        <v>#N/A</v>
      </c>
      <c r="CC65" s="599"/>
      <c r="CD65" s="268"/>
      <c r="CE65" s="268"/>
      <c r="CF65" s="268"/>
      <c r="CG65" s="268"/>
      <c r="CH65" s="268"/>
      <c r="CI65" s="268"/>
      <c r="CJ65" s="268"/>
      <c r="CK65" s="268"/>
      <c r="CL65" s="268"/>
      <c r="CM65" s="268"/>
      <c r="CN65" s="268"/>
      <c r="CO65" s="268"/>
      <c r="CP65" s="268"/>
      <c r="CQ65" s="268"/>
      <c r="CR65" s="268"/>
      <c r="CS65" s="268"/>
      <c r="CT65" s="268"/>
      <c r="CU65" s="268"/>
      <c r="CV65" s="268"/>
      <c r="CW65" s="268"/>
      <c r="CX65" s="268"/>
      <c r="CY65" s="268"/>
      <c r="CZ65" s="268"/>
      <c r="DA65" s="268"/>
      <c r="DB65" s="268"/>
      <c r="DC65" s="268"/>
      <c r="DD65" s="268"/>
      <c r="DE65" s="268"/>
      <c r="DF65" s="268"/>
      <c r="DG65" s="268"/>
      <c r="DH65" s="268"/>
      <c r="DI65" s="268"/>
      <c r="DJ65" s="268"/>
      <c r="DK65" s="268"/>
      <c r="DL65" s="268"/>
      <c r="DM65" s="268"/>
      <c r="DN65" s="268"/>
      <c r="DO65" s="268"/>
      <c r="DP65" s="268"/>
      <c r="DQ65" s="268"/>
      <c r="DR65" s="268"/>
      <c r="DS65" s="268"/>
      <c r="DT65" s="268"/>
      <c r="DU65" s="268"/>
      <c r="DV65" s="268"/>
      <c r="DW65" s="268"/>
      <c r="DX65" s="268"/>
      <c r="DY65" s="268"/>
      <c r="DZ65" s="268"/>
      <c r="EA65" s="268"/>
      <c r="EB65" s="268"/>
      <c r="EC65" s="268"/>
      <c r="ED65" s="268"/>
      <c r="EE65" s="268"/>
      <c r="EF65" s="268"/>
      <c r="EG65" s="268"/>
      <c r="EH65" s="268"/>
    </row>
    <row r="66" spans="1:138" ht="15.95" outlineLevel="1">
      <c r="A66" s="474"/>
      <c r="B66" s="609"/>
      <c r="C66" s="320" t="s">
        <v>296</v>
      </c>
      <c r="D66" s="295" t="s">
        <v>245</v>
      </c>
      <c r="E66" s="318"/>
      <c r="F66" s="318"/>
      <c r="G66" s="318"/>
      <c r="H66" s="318"/>
      <c r="I66" s="318"/>
      <c r="J66" s="318"/>
      <c r="K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H66" s="318"/>
      <c r="AI66" s="318"/>
      <c r="AJ66" s="318"/>
      <c r="AK66" s="318"/>
      <c r="AL66" s="318"/>
      <c r="AM66" s="318"/>
      <c r="AN66" s="318"/>
      <c r="AO66" s="318"/>
      <c r="AP66" s="318"/>
      <c r="AQ66" s="318"/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8"/>
      <c r="BR66" s="318"/>
      <c r="BS66" s="318"/>
      <c r="BT66" s="318"/>
      <c r="BU66" s="318"/>
      <c r="BV66" s="318"/>
      <c r="BW66" s="318"/>
      <c r="BX66" s="318"/>
      <c r="BY66" s="319">
        <f t="shared" si="33"/>
        <v>0</v>
      </c>
      <c r="BZ66" s="599"/>
      <c r="CA66" s="268"/>
      <c r="CB66" s="293" t="e">
        <f t="shared" ca="1" si="34"/>
        <v>#N/A</v>
      </c>
      <c r="CC66" s="599"/>
      <c r="CD66" s="268"/>
      <c r="CE66" s="268"/>
      <c r="CF66" s="268"/>
      <c r="CG66" s="268"/>
      <c r="CH66" s="268"/>
      <c r="CI66" s="268"/>
      <c r="CJ66" s="268"/>
      <c r="CK66" s="268"/>
      <c r="CL66" s="268"/>
      <c r="CM66" s="268"/>
      <c r="CN66" s="268"/>
      <c r="CO66" s="268"/>
      <c r="CP66" s="268"/>
      <c r="CQ66" s="268"/>
      <c r="CR66" s="268"/>
      <c r="CS66" s="268"/>
      <c r="CT66" s="268"/>
      <c r="CU66" s="268"/>
      <c r="CV66" s="268"/>
      <c r="CW66" s="268"/>
      <c r="CX66" s="268"/>
      <c r="CY66" s="268"/>
      <c r="CZ66" s="268"/>
      <c r="DA66" s="268"/>
      <c r="DB66" s="268"/>
      <c r="DC66" s="268"/>
      <c r="DD66" s="268"/>
      <c r="DE66" s="268"/>
      <c r="DF66" s="268"/>
      <c r="DG66" s="268"/>
      <c r="DH66" s="268"/>
      <c r="DI66" s="268"/>
      <c r="DJ66" s="268"/>
      <c r="DK66" s="268"/>
      <c r="DL66" s="268"/>
      <c r="DM66" s="268"/>
      <c r="DN66" s="268"/>
      <c r="DO66" s="268"/>
      <c r="DP66" s="268"/>
      <c r="DQ66" s="268"/>
      <c r="DR66" s="268"/>
      <c r="DS66" s="268"/>
      <c r="DT66" s="268"/>
      <c r="DU66" s="268"/>
      <c r="DV66" s="268"/>
      <c r="DW66" s="268"/>
      <c r="DX66" s="268"/>
      <c r="DY66" s="268"/>
      <c r="DZ66" s="268"/>
      <c r="EA66" s="268"/>
      <c r="EB66" s="268"/>
      <c r="EC66" s="268"/>
      <c r="ED66" s="268"/>
      <c r="EE66" s="268"/>
      <c r="EF66" s="268"/>
      <c r="EG66" s="268"/>
      <c r="EH66" s="268"/>
    </row>
    <row r="67" spans="1:138" ht="15.95" outlineLevel="1">
      <c r="A67" s="474"/>
      <c r="B67" s="609"/>
      <c r="C67" s="320" t="s">
        <v>297</v>
      </c>
      <c r="D67" s="295" t="s">
        <v>245</v>
      </c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8"/>
      <c r="BR67" s="318"/>
      <c r="BS67" s="318"/>
      <c r="BT67" s="318"/>
      <c r="BU67" s="318"/>
      <c r="BV67" s="318"/>
      <c r="BW67" s="318"/>
      <c r="BX67" s="318"/>
      <c r="BY67" s="319">
        <f t="shared" si="33"/>
        <v>0</v>
      </c>
      <c r="BZ67" s="599"/>
      <c r="CA67" s="268"/>
      <c r="CB67" s="293" t="e">
        <f t="shared" ca="1" si="34"/>
        <v>#N/A</v>
      </c>
      <c r="CC67" s="599"/>
      <c r="CD67" s="268"/>
      <c r="CE67" s="268"/>
      <c r="CF67" s="268"/>
      <c r="CG67" s="268"/>
      <c r="CH67" s="268"/>
      <c r="CI67" s="268"/>
      <c r="CJ67" s="268"/>
      <c r="CK67" s="268"/>
      <c r="CL67" s="268"/>
      <c r="CM67" s="268"/>
      <c r="CN67" s="268"/>
      <c r="CO67" s="268"/>
      <c r="CP67" s="268"/>
      <c r="CQ67" s="268"/>
      <c r="CR67" s="268"/>
      <c r="CS67" s="268"/>
      <c r="CT67" s="268"/>
      <c r="CU67" s="268"/>
      <c r="CV67" s="268"/>
      <c r="CW67" s="268"/>
      <c r="CX67" s="268"/>
      <c r="CY67" s="268"/>
      <c r="CZ67" s="268"/>
      <c r="DA67" s="268"/>
      <c r="DB67" s="268"/>
      <c r="DC67" s="268"/>
      <c r="DD67" s="268"/>
      <c r="DE67" s="268"/>
      <c r="DF67" s="268"/>
      <c r="DG67" s="268"/>
      <c r="DH67" s="268"/>
      <c r="DI67" s="268"/>
      <c r="DJ67" s="268"/>
      <c r="DK67" s="268"/>
      <c r="DL67" s="268"/>
      <c r="DM67" s="268"/>
      <c r="DN67" s="268"/>
      <c r="DO67" s="268"/>
      <c r="DP67" s="268"/>
      <c r="DQ67" s="268"/>
      <c r="DR67" s="268"/>
      <c r="DS67" s="268"/>
      <c r="DT67" s="268"/>
      <c r="DU67" s="268"/>
      <c r="DV67" s="268"/>
      <c r="DW67" s="268"/>
      <c r="DX67" s="268"/>
      <c r="DY67" s="268"/>
      <c r="DZ67" s="268"/>
      <c r="EA67" s="268"/>
      <c r="EB67" s="268"/>
      <c r="EC67" s="268"/>
      <c r="ED67" s="268"/>
      <c r="EE67" s="268"/>
      <c r="EF67" s="268"/>
      <c r="EG67" s="268"/>
      <c r="EH67" s="268"/>
    </row>
    <row r="68" spans="1:138" ht="15.95" outlineLevel="1">
      <c r="A68" s="474"/>
      <c r="B68" s="609"/>
      <c r="C68" s="320" t="s">
        <v>298</v>
      </c>
      <c r="D68" s="295" t="s">
        <v>245</v>
      </c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H68" s="318"/>
      <c r="AI68" s="318"/>
      <c r="AJ68" s="318"/>
      <c r="AK68" s="318"/>
      <c r="AL68" s="318"/>
      <c r="AM68" s="318"/>
      <c r="AN68" s="318"/>
      <c r="AO68" s="318"/>
      <c r="AP68" s="318"/>
      <c r="AQ68" s="318"/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8"/>
      <c r="BR68" s="318"/>
      <c r="BS68" s="318"/>
      <c r="BT68" s="318"/>
      <c r="BU68" s="318"/>
      <c r="BV68" s="318"/>
      <c r="BW68" s="318"/>
      <c r="BX68" s="318"/>
      <c r="BY68" s="319">
        <f t="shared" si="33"/>
        <v>0</v>
      </c>
      <c r="BZ68" s="599"/>
      <c r="CA68" s="268"/>
      <c r="CB68" s="293" t="e">
        <f t="shared" ca="1" si="34"/>
        <v>#REF!</v>
      </c>
      <c r="CC68" s="599"/>
      <c r="CD68" s="268"/>
      <c r="CE68" s="268"/>
      <c r="CF68" s="268"/>
      <c r="CG68" s="268"/>
      <c r="CH68" s="268"/>
      <c r="CI68" s="268"/>
      <c r="CJ68" s="268"/>
      <c r="CK68" s="268"/>
      <c r="CL68" s="268"/>
      <c r="CM68" s="268"/>
      <c r="CN68" s="268"/>
      <c r="CO68" s="268"/>
      <c r="CP68" s="268"/>
      <c r="CQ68" s="268"/>
      <c r="CR68" s="268"/>
      <c r="CS68" s="268"/>
      <c r="CT68" s="268"/>
      <c r="CU68" s="268"/>
      <c r="CV68" s="268"/>
      <c r="CW68" s="268"/>
      <c r="CX68" s="268"/>
      <c r="CY68" s="268"/>
      <c r="CZ68" s="268"/>
      <c r="DA68" s="268"/>
      <c r="DB68" s="268"/>
      <c r="DC68" s="268"/>
      <c r="DD68" s="268"/>
      <c r="DE68" s="268"/>
      <c r="DF68" s="268"/>
      <c r="DG68" s="268"/>
      <c r="DH68" s="268"/>
      <c r="DI68" s="268"/>
      <c r="DJ68" s="268"/>
      <c r="DK68" s="268"/>
      <c r="DL68" s="268"/>
      <c r="DM68" s="268"/>
      <c r="DN68" s="268"/>
      <c r="DO68" s="268"/>
      <c r="DP68" s="268"/>
      <c r="DQ68" s="268"/>
      <c r="DR68" s="268"/>
      <c r="DS68" s="268"/>
      <c r="DT68" s="268"/>
      <c r="DU68" s="268"/>
      <c r="DV68" s="268"/>
      <c r="DW68" s="268"/>
      <c r="DX68" s="268"/>
      <c r="DY68" s="268"/>
      <c r="DZ68" s="268"/>
      <c r="EA68" s="268"/>
      <c r="EB68" s="268"/>
      <c r="EC68" s="268"/>
      <c r="ED68" s="268"/>
      <c r="EE68" s="268"/>
      <c r="EF68" s="268"/>
      <c r="EG68" s="268"/>
      <c r="EH68" s="268"/>
    </row>
    <row r="69" spans="1:138" ht="15.95" outlineLevel="1">
      <c r="A69" s="474"/>
      <c r="B69" s="609"/>
      <c r="C69" s="320" t="s">
        <v>299</v>
      </c>
      <c r="D69" s="295" t="s">
        <v>245</v>
      </c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18"/>
      <c r="AJ69" s="318"/>
      <c r="AK69" s="318"/>
      <c r="AL69" s="318"/>
      <c r="AM69" s="318"/>
      <c r="AN69" s="318"/>
      <c r="AO69" s="318"/>
      <c r="AP69" s="318"/>
      <c r="AQ69" s="318"/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8"/>
      <c r="BR69" s="318"/>
      <c r="BS69" s="318"/>
      <c r="BT69" s="318"/>
      <c r="BU69" s="318"/>
      <c r="BV69" s="318"/>
      <c r="BW69" s="318"/>
      <c r="BX69" s="318"/>
      <c r="BY69" s="319">
        <f t="shared" si="33"/>
        <v>0</v>
      </c>
      <c r="BZ69" s="599"/>
      <c r="CA69" s="268"/>
      <c r="CB69" s="293" t="e">
        <f t="shared" ca="1" si="34"/>
        <v>#REF!</v>
      </c>
      <c r="CC69" s="599"/>
      <c r="CD69" s="268"/>
      <c r="CE69" s="268"/>
      <c r="CF69" s="268"/>
      <c r="CG69" s="268"/>
      <c r="CH69" s="268"/>
      <c r="CI69" s="268"/>
      <c r="CJ69" s="268"/>
      <c r="CK69" s="268"/>
      <c r="CL69" s="268"/>
      <c r="CM69" s="268"/>
      <c r="CN69" s="268"/>
      <c r="CO69" s="268"/>
      <c r="CP69" s="268"/>
      <c r="CQ69" s="268"/>
      <c r="CR69" s="268"/>
      <c r="CS69" s="268"/>
      <c r="CT69" s="268"/>
      <c r="CU69" s="268"/>
      <c r="CV69" s="268"/>
      <c r="CW69" s="268"/>
      <c r="CX69" s="268"/>
      <c r="CY69" s="268"/>
      <c r="CZ69" s="268"/>
      <c r="DA69" s="268"/>
      <c r="DB69" s="268"/>
      <c r="DC69" s="268"/>
      <c r="DD69" s="268"/>
      <c r="DE69" s="268"/>
      <c r="DF69" s="268"/>
      <c r="DG69" s="268"/>
      <c r="DH69" s="268"/>
      <c r="DI69" s="268"/>
      <c r="DJ69" s="268"/>
      <c r="DK69" s="268"/>
      <c r="DL69" s="268"/>
      <c r="DM69" s="268"/>
      <c r="DN69" s="268"/>
      <c r="DO69" s="268"/>
      <c r="DP69" s="268"/>
      <c r="DQ69" s="268"/>
      <c r="DR69" s="268"/>
      <c r="DS69" s="268"/>
      <c r="DT69" s="268"/>
      <c r="DU69" s="268"/>
      <c r="DV69" s="268"/>
      <c r="DW69" s="268"/>
      <c r="DX69" s="268"/>
      <c r="DY69" s="268"/>
      <c r="DZ69" s="268"/>
      <c r="EA69" s="268"/>
      <c r="EB69" s="268"/>
      <c r="EC69" s="268"/>
      <c r="ED69" s="268"/>
      <c r="EE69" s="268"/>
      <c r="EF69" s="268"/>
      <c r="EG69" s="268"/>
      <c r="EH69" s="268"/>
    </row>
    <row r="70" spans="1:138" ht="15.95" outlineLevel="1">
      <c r="A70" s="474"/>
      <c r="B70" s="609"/>
      <c r="C70" s="320" t="s">
        <v>300</v>
      </c>
      <c r="D70" s="295" t="s">
        <v>245</v>
      </c>
      <c r="E70" s="318"/>
      <c r="F70" s="318"/>
      <c r="G70" s="318"/>
      <c r="H70" s="318"/>
      <c r="I70" s="318"/>
      <c r="J70" s="318"/>
      <c r="K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H70" s="318"/>
      <c r="AI70" s="318"/>
      <c r="AJ70" s="318"/>
      <c r="AK70" s="318"/>
      <c r="AL70" s="318"/>
      <c r="AM70" s="318"/>
      <c r="AN70" s="318"/>
      <c r="AO70" s="318"/>
      <c r="AP70" s="318"/>
      <c r="AQ70" s="318"/>
      <c r="AR70" s="318"/>
      <c r="AS70" s="318"/>
      <c r="AT70" s="318"/>
      <c r="AU70" s="318"/>
      <c r="AV70" s="318"/>
      <c r="AW70" s="318"/>
      <c r="AX70" s="318"/>
      <c r="AY70" s="318"/>
      <c r="AZ70" s="318"/>
      <c r="BA70" s="318"/>
      <c r="BB70" s="318"/>
      <c r="BC70" s="318"/>
      <c r="BD70" s="318"/>
      <c r="BE70" s="318"/>
      <c r="BF70" s="318"/>
      <c r="BG70" s="318"/>
      <c r="BH70" s="318"/>
      <c r="BI70" s="318"/>
      <c r="BJ70" s="318"/>
      <c r="BK70" s="318"/>
      <c r="BL70" s="318"/>
      <c r="BM70" s="318"/>
      <c r="BN70" s="318"/>
      <c r="BO70" s="318"/>
      <c r="BP70" s="318"/>
      <c r="BQ70" s="318"/>
      <c r="BR70" s="318"/>
      <c r="BS70" s="318"/>
      <c r="BT70" s="318"/>
      <c r="BU70" s="318"/>
      <c r="BV70" s="318"/>
      <c r="BW70" s="318"/>
      <c r="BX70" s="318"/>
      <c r="BY70" s="319">
        <f t="shared" si="33"/>
        <v>0</v>
      </c>
      <c r="BZ70" s="599"/>
      <c r="CA70" s="268"/>
      <c r="CB70" s="293" t="e">
        <f t="shared" ca="1" si="34"/>
        <v>#N/A</v>
      </c>
      <c r="CC70" s="599"/>
      <c r="CD70" s="268"/>
      <c r="CE70" s="268"/>
      <c r="CF70" s="268"/>
      <c r="CG70" s="268"/>
      <c r="CH70" s="268"/>
      <c r="CI70" s="268"/>
      <c r="CJ70" s="268"/>
      <c r="CK70" s="268"/>
      <c r="CL70" s="268"/>
      <c r="CM70" s="268"/>
      <c r="CN70" s="268"/>
      <c r="CO70" s="268"/>
      <c r="CP70" s="268"/>
      <c r="CQ70" s="268"/>
      <c r="CR70" s="268"/>
      <c r="CS70" s="268"/>
      <c r="CT70" s="268"/>
      <c r="CU70" s="268"/>
      <c r="CV70" s="268"/>
      <c r="CW70" s="268"/>
      <c r="CX70" s="268"/>
      <c r="CY70" s="268"/>
      <c r="CZ70" s="268"/>
      <c r="DA70" s="268"/>
      <c r="DB70" s="268"/>
      <c r="DC70" s="268"/>
      <c r="DD70" s="268"/>
      <c r="DE70" s="268"/>
      <c r="DF70" s="268"/>
      <c r="DG70" s="268"/>
      <c r="DH70" s="268"/>
      <c r="DI70" s="268"/>
      <c r="DJ70" s="268"/>
      <c r="DK70" s="268"/>
      <c r="DL70" s="268"/>
      <c r="DM70" s="268"/>
      <c r="DN70" s="268"/>
      <c r="DO70" s="268"/>
      <c r="DP70" s="268"/>
      <c r="DQ70" s="268"/>
      <c r="DR70" s="268"/>
      <c r="DS70" s="268"/>
      <c r="DT70" s="268"/>
      <c r="DU70" s="268"/>
      <c r="DV70" s="268"/>
      <c r="DW70" s="268"/>
      <c r="DX70" s="268"/>
      <c r="DY70" s="268"/>
      <c r="DZ70" s="268"/>
      <c r="EA70" s="268"/>
      <c r="EB70" s="268"/>
      <c r="EC70" s="268"/>
      <c r="ED70" s="268"/>
      <c r="EE70" s="268"/>
      <c r="EF70" s="268"/>
      <c r="EG70" s="268"/>
      <c r="EH70" s="268"/>
    </row>
    <row r="71" spans="1:138" ht="15.95" outlineLevel="1">
      <c r="A71" s="474"/>
      <c r="B71" s="609"/>
      <c r="C71" s="320" t="s">
        <v>301</v>
      </c>
      <c r="D71" s="295" t="s">
        <v>245</v>
      </c>
      <c r="E71" s="318"/>
      <c r="F71" s="318"/>
      <c r="G71" s="318"/>
      <c r="H71" s="318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T71" s="318"/>
      <c r="U71" s="318"/>
      <c r="V71" s="318"/>
      <c r="W71" s="318"/>
      <c r="X71" s="318"/>
      <c r="Y71" s="318"/>
      <c r="Z71" s="318"/>
      <c r="AA71" s="318"/>
      <c r="AB71" s="318"/>
      <c r="AC71" s="318"/>
      <c r="AD71" s="318"/>
      <c r="AE71" s="318"/>
      <c r="AF71" s="318"/>
      <c r="AG71" s="318"/>
      <c r="AH71" s="318"/>
      <c r="AI71" s="318"/>
      <c r="AJ71" s="318"/>
      <c r="AK71" s="318"/>
      <c r="AL71" s="318"/>
      <c r="AM71" s="318"/>
      <c r="AN71" s="318"/>
      <c r="AO71" s="318"/>
      <c r="AP71" s="318"/>
      <c r="AQ71" s="318"/>
      <c r="AR71" s="318"/>
      <c r="AS71" s="318"/>
      <c r="AT71" s="318"/>
      <c r="AU71" s="318"/>
      <c r="AV71" s="318"/>
      <c r="AW71" s="318"/>
      <c r="AX71" s="318"/>
      <c r="AY71" s="318"/>
      <c r="AZ71" s="318"/>
      <c r="BA71" s="318"/>
      <c r="BB71" s="318"/>
      <c r="BC71" s="318"/>
      <c r="BD71" s="318"/>
      <c r="BE71" s="318"/>
      <c r="BF71" s="318"/>
      <c r="BG71" s="318"/>
      <c r="BH71" s="318"/>
      <c r="BI71" s="318"/>
      <c r="BJ71" s="318"/>
      <c r="BK71" s="318"/>
      <c r="BL71" s="318"/>
      <c r="BM71" s="318"/>
      <c r="BN71" s="318"/>
      <c r="BO71" s="318"/>
      <c r="BP71" s="318"/>
      <c r="BQ71" s="318"/>
      <c r="BR71" s="318"/>
      <c r="BS71" s="318"/>
      <c r="BT71" s="318"/>
      <c r="BU71" s="318"/>
      <c r="BV71" s="318"/>
      <c r="BW71" s="318"/>
      <c r="BX71" s="318"/>
      <c r="BY71" s="319">
        <f t="shared" si="33"/>
        <v>0</v>
      </c>
      <c r="BZ71" s="599"/>
      <c r="CA71" s="268"/>
      <c r="CB71" s="293" t="e">
        <f t="shared" ca="1" si="34"/>
        <v>#REF!</v>
      </c>
      <c r="CC71" s="599"/>
      <c r="CD71" s="268"/>
      <c r="CE71" s="268"/>
      <c r="CF71" s="268"/>
      <c r="CG71" s="268"/>
      <c r="CH71" s="268"/>
      <c r="CI71" s="268"/>
      <c r="CJ71" s="268"/>
      <c r="CK71" s="268"/>
      <c r="CL71" s="268"/>
      <c r="CM71" s="268"/>
      <c r="CN71" s="268"/>
      <c r="CO71" s="268"/>
      <c r="CP71" s="268"/>
      <c r="CQ71" s="268"/>
      <c r="CR71" s="268"/>
      <c r="CS71" s="268"/>
      <c r="CT71" s="268"/>
      <c r="CU71" s="268"/>
      <c r="CV71" s="268"/>
      <c r="CW71" s="268"/>
      <c r="CX71" s="268"/>
      <c r="CY71" s="268"/>
      <c r="CZ71" s="268"/>
      <c r="DA71" s="268"/>
      <c r="DB71" s="268"/>
      <c r="DC71" s="268"/>
      <c r="DD71" s="268"/>
      <c r="DE71" s="268"/>
      <c r="DF71" s="268"/>
      <c r="DG71" s="268"/>
      <c r="DH71" s="268"/>
      <c r="DI71" s="268"/>
      <c r="DJ71" s="268"/>
      <c r="DK71" s="268"/>
      <c r="DL71" s="268"/>
      <c r="DM71" s="268"/>
      <c r="DN71" s="268"/>
      <c r="DO71" s="268"/>
      <c r="DP71" s="268"/>
      <c r="DQ71" s="268"/>
      <c r="DR71" s="268"/>
      <c r="DS71" s="268"/>
      <c r="DT71" s="268"/>
      <c r="DU71" s="268"/>
      <c r="DV71" s="268"/>
      <c r="DW71" s="268"/>
      <c r="DX71" s="268"/>
      <c r="DY71" s="268"/>
      <c r="DZ71" s="268"/>
      <c r="EA71" s="268"/>
      <c r="EB71" s="268"/>
      <c r="EC71" s="268"/>
      <c r="ED71" s="268"/>
      <c r="EE71" s="268"/>
      <c r="EF71" s="268"/>
      <c r="EG71" s="268"/>
      <c r="EH71" s="268"/>
    </row>
    <row r="72" spans="1:138" ht="15.95" outlineLevel="1">
      <c r="A72" s="474"/>
      <c r="B72" s="609"/>
      <c r="C72" s="320" t="s">
        <v>302</v>
      </c>
      <c r="D72" s="295" t="s">
        <v>245</v>
      </c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  <c r="AE72" s="318"/>
      <c r="AF72" s="318"/>
      <c r="AG72" s="318"/>
      <c r="AH72" s="318"/>
      <c r="AI72" s="318"/>
      <c r="AJ72" s="318"/>
      <c r="AK72" s="318"/>
      <c r="AL72" s="318"/>
      <c r="AM72" s="318"/>
      <c r="AN72" s="318"/>
      <c r="AO72" s="318"/>
      <c r="AP72" s="318"/>
      <c r="AQ72" s="318"/>
      <c r="AR72" s="318"/>
      <c r="AS72" s="318"/>
      <c r="AT72" s="318"/>
      <c r="AU72" s="318"/>
      <c r="AV72" s="318"/>
      <c r="AW72" s="318"/>
      <c r="AX72" s="318"/>
      <c r="AY72" s="318"/>
      <c r="AZ72" s="318"/>
      <c r="BA72" s="318"/>
      <c r="BB72" s="318"/>
      <c r="BC72" s="318"/>
      <c r="BD72" s="318"/>
      <c r="BE72" s="318"/>
      <c r="BF72" s="318"/>
      <c r="BG72" s="318"/>
      <c r="BH72" s="318"/>
      <c r="BI72" s="318"/>
      <c r="BJ72" s="318"/>
      <c r="BK72" s="318"/>
      <c r="BL72" s="318"/>
      <c r="BM72" s="318"/>
      <c r="BN72" s="318"/>
      <c r="BO72" s="318"/>
      <c r="BP72" s="318"/>
      <c r="BQ72" s="318"/>
      <c r="BR72" s="318"/>
      <c r="BS72" s="318"/>
      <c r="BT72" s="318"/>
      <c r="BU72" s="318"/>
      <c r="BV72" s="318"/>
      <c r="BW72" s="318"/>
      <c r="BX72" s="318"/>
      <c r="BY72" s="319">
        <f t="shared" si="33"/>
        <v>0</v>
      </c>
      <c r="BZ72" s="599"/>
      <c r="CA72" s="268"/>
      <c r="CB72" s="293" t="e">
        <f t="shared" ca="1" si="34"/>
        <v>#REF!</v>
      </c>
      <c r="CC72" s="599"/>
      <c r="CD72" s="268"/>
      <c r="CE72" s="268"/>
      <c r="CF72" s="268"/>
      <c r="CG72" s="268"/>
      <c r="CH72" s="268"/>
      <c r="CI72" s="268"/>
      <c r="CJ72" s="268"/>
      <c r="CK72" s="268"/>
      <c r="CL72" s="268"/>
      <c r="CM72" s="268"/>
      <c r="CN72" s="268"/>
      <c r="CO72" s="268"/>
      <c r="CP72" s="268"/>
      <c r="CQ72" s="268"/>
      <c r="CR72" s="268"/>
      <c r="CS72" s="268"/>
      <c r="CT72" s="268"/>
      <c r="CU72" s="268"/>
      <c r="CV72" s="268"/>
      <c r="CW72" s="268"/>
      <c r="CX72" s="268"/>
      <c r="CY72" s="268"/>
      <c r="CZ72" s="268"/>
      <c r="DA72" s="268"/>
      <c r="DB72" s="268"/>
      <c r="DC72" s="268"/>
      <c r="DD72" s="268"/>
      <c r="DE72" s="268"/>
      <c r="DF72" s="268"/>
      <c r="DG72" s="268"/>
      <c r="DH72" s="268"/>
      <c r="DI72" s="268"/>
      <c r="DJ72" s="268"/>
      <c r="DK72" s="268"/>
      <c r="DL72" s="268"/>
      <c r="DM72" s="268"/>
      <c r="DN72" s="268"/>
      <c r="DO72" s="268"/>
      <c r="DP72" s="268"/>
      <c r="DQ72" s="268"/>
      <c r="DR72" s="268"/>
      <c r="DS72" s="268"/>
      <c r="DT72" s="268"/>
      <c r="DU72" s="268"/>
      <c r="DV72" s="268"/>
      <c r="DW72" s="268"/>
      <c r="DX72" s="268"/>
      <c r="DY72" s="268"/>
      <c r="DZ72" s="268"/>
      <c r="EA72" s="268"/>
      <c r="EB72" s="268"/>
      <c r="EC72" s="268"/>
      <c r="ED72" s="268"/>
      <c r="EE72" s="268"/>
      <c r="EF72" s="268"/>
      <c r="EG72" s="268"/>
      <c r="EH72" s="268"/>
    </row>
    <row r="73" spans="1:138" ht="15.95" outlineLevel="1">
      <c r="A73" s="474"/>
      <c r="B73" s="609"/>
      <c r="C73" s="320" t="s">
        <v>303</v>
      </c>
      <c r="D73" s="295" t="s">
        <v>245</v>
      </c>
      <c r="E73" s="318"/>
      <c r="F73" s="318"/>
      <c r="G73" s="318"/>
      <c r="H73" s="318"/>
      <c r="I73" s="318"/>
      <c r="J73" s="318"/>
      <c r="K73" s="318"/>
      <c r="L73" s="318"/>
      <c r="M73" s="318"/>
      <c r="N73" s="318"/>
      <c r="O73" s="318"/>
      <c r="P73" s="318"/>
      <c r="Q73" s="318"/>
      <c r="R73" s="318"/>
      <c r="S73" s="318"/>
      <c r="T73" s="318"/>
      <c r="U73" s="318"/>
      <c r="V73" s="318"/>
      <c r="W73" s="318"/>
      <c r="X73" s="318"/>
      <c r="Y73" s="318"/>
      <c r="Z73" s="318"/>
      <c r="AA73" s="318"/>
      <c r="AB73" s="318"/>
      <c r="AC73" s="318"/>
      <c r="AD73" s="318"/>
      <c r="AE73" s="318"/>
      <c r="AF73" s="318"/>
      <c r="AG73" s="318"/>
      <c r="AH73" s="318"/>
      <c r="AI73" s="318"/>
      <c r="AJ73" s="318"/>
      <c r="AK73" s="318"/>
      <c r="AL73" s="318"/>
      <c r="AM73" s="318"/>
      <c r="AN73" s="318"/>
      <c r="AO73" s="318"/>
      <c r="AP73" s="318"/>
      <c r="AQ73" s="318"/>
      <c r="AR73" s="318"/>
      <c r="AS73" s="318"/>
      <c r="AT73" s="318"/>
      <c r="AU73" s="318"/>
      <c r="AV73" s="318"/>
      <c r="AW73" s="318"/>
      <c r="AX73" s="318"/>
      <c r="AY73" s="318"/>
      <c r="AZ73" s="318"/>
      <c r="BA73" s="318"/>
      <c r="BB73" s="318"/>
      <c r="BC73" s="318"/>
      <c r="BD73" s="318"/>
      <c r="BE73" s="318"/>
      <c r="BF73" s="318"/>
      <c r="BG73" s="318"/>
      <c r="BH73" s="318"/>
      <c r="BI73" s="318"/>
      <c r="BJ73" s="318"/>
      <c r="BK73" s="318"/>
      <c r="BL73" s="318"/>
      <c r="BM73" s="318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9">
        <f t="shared" si="33"/>
        <v>0</v>
      </c>
      <c r="BZ73" s="599"/>
      <c r="CA73" s="268"/>
      <c r="CB73" s="293" t="e">
        <f t="shared" ca="1" si="34"/>
        <v>#REF!</v>
      </c>
      <c r="CC73" s="599"/>
      <c r="CD73" s="268"/>
      <c r="CE73" s="268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  <c r="CP73" s="268"/>
      <c r="CQ73" s="268"/>
      <c r="CR73" s="268"/>
      <c r="CS73" s="268"/>
      <c r="CT73" s="268"/>
      <c r="CU73" s="268"/>
      <c r="CV73" s="268"/>
      <c r="CW73" s="268"/>
      <c r="CX73" s="268"/>
      <c r="CY73" s="268"/>
      <c r="CZ73" s="268"/>
      <c r="DA73" s="268"/>
      <c r="DB73" s="268"/>
      <c r="DC73" s="268"/>
      <c r="DD73" s="268"/>
      <c r="DE73" s="268"/>
      <c r="DF73" s="268"/>
      <c r="DG73" s="268"/>
      <c r="DH73" s="268"/>
      <c r="DI73" s="268"/>
      <c r="DJ73" s="268"/>
      <c r="DK73" s="268"/>
      <c r="DL73" s="268"/>
      <c r="DM73" s="268"/>
      <c r="DN73" s="268"/>
      <c r="DO73" s="268"/>
      <c r="DP73" s="268"/>
      <c r="DQ73" s="268"/>
      <c r="DR73" s="268"/>
      <c r="DS73" s="268"/>
      <c r="DT73" s="268"/>
      <c r="DU73" s="268"/>
      <c r="DV73" s="268"/>
      <c r="DW73" s="268"/>
      <c r="DX73" s="268"/>
      <c r="DY73" s="268"/>
      <c r="DZ73" s="268"/>
      <c r="EA73" s="268"/>
      <c r="EB73" s="268"/>
      <c r="EC73" s="268"/>
      <c r="ED73" s="268"/>
      <c r="EE73" s="268"/>
      <c r="EF73" s="268"/>
      <c r="EG73" s="268"/>
      <c r="EH73" s="268"/>
    </row>
    <row r="74" spans="1:138" ht="15.95" outlineLevel="1">
      <c r="A74" s="474"/>
      <c r="B74" s="609"/>
      <c r="C74" s="320" t="s">
        <v>304</v>
      </c>
      <c r="D74" s="295" t="s">
        <v>245</v>
      </c>
      <c r="E74" s="318"/>
      <c r="F74" s="318"/>
      <c r="G74" s="318"/>
      <c r="H74" s="318"/>
      <c r="I74" s="318"/>
      <c r="J74" s="318"/>
      <c r="K74" s="318"/>
      <c r="L74" s="318"/>
      <c r="M74" s="318"/>
      <c r="N74" s="318"/>
      <c r="O74" s="318"/>
      <c r="P74" s="318"/>
      <c r="Q74" s="318"/>
      <c r="R74" s="318"/>
      <c r="S74" s="318"/>
      <c r="T74" s="318"/>
      <c r="U74" s="318"/>
      <c r="V74" s="318"/>
      <c r="W74" s="318"/>
      <c r="X74" s="318"/>
      <c r="Y74" s="318"/>
      <c r="Z74" s="318"/>
      <c r="AA74" s="318"/>
      <c r="AB74" s="318"/>
      <c r="AC74" s="318"/>
      <c r="AD74" s="318"/>
      <c r="AE74" s="318"/>
      <c r="AF74" s="318"/>
      <c r="AG74" s="318"/>
      <c r="AH74" s="318"/>
      <c r="AI74" s="318"/>
      <c r="AJ74" s="318"/>
      <c r="AK74" s="318"/>
      <c r="AL74" s="318"/>
      <c r="AM74" s="318"/>
      <c r="AN74" s="318"/>
      <c r="AO74" s="318"/>
      <c r="AP74" s="318"/>
      <c r="AQ74" s="318"/>
      <c r="AR74" s="318"/>
      <c r="AS74" s="318"/>
      <c r="AT74" s="318"/>
      <c r="AU74" s="318"/>
      <c r="AV74" s="318"/>
      <c r="AW74" s="318"/>
      <c r="AX74" s="318"/>
      <c r="AY74" s="318"/>
      <c r="AZ74" s="318"/>
      <c r="BA74" s="318"/>
      <c r="BB74" s="318"/>
      <c r="BC74" s="318"/>
      <c r="BD74" s="318"/>
      <c r="BE74" s="318"/>
      <c r="BF74" s="318"/>
      <c r="BG74" s="318"/>
      <c r="BH74" s="318"/>
      <c r="BI74" s="318"/>
      <c r="BJ74" s="318"/>
      <c r="BK74" s="318"/>
      <c r="BL74" s="318"/>
      <c r="BM74" s="318"/>
      <c r="BN74" s="318"/>
      <c r="BO74" s="318"/>
      <c r="BP74" s="318"/>
      <c r="BQ74" s="318"/>
      <c r="BR74" s="318"/>
      <c r="BS74" s="318"/>
      <c r="BT74" s="318"/>
      <c r="BU74" s="318"/>
      <c r="BV74" s="318"/>
      <c r="BW74" s="318"/>
      <c r="BX74" s="318"/>
      <c r="BY74" s="319">
        <f t="shared" si="33"/>
        <v>0</v>
      </c>
      <c r="BZ74" s="599"/>
      <c r="CA74" s="268"/>
      <c r="CB74" s="293" t="e">
        <f t="shared" ca="1" si="34"/>
        <v>#REF!</v>
      </c>
      <c r="CC74" s="599"/>
      <c r="CD74" s="268"/>
      <c r="CE74" s="268"/>
      <c r="CF74" s="268"/>
      <c r="CG74" s="268"/>
      <c r="CH74" s="268"/>
      <c r="CI74" s="268"/>
      <c r="CJ74" s="268"/>
      <c r="CK74" s="268"/>
      <c r="CL74" s="268"/>
      <c r="CM74" s="268"/>
      <c r="CN74" s="268"/>
      <c r="CO74" s="268"/>
      <c r="CP74" s="268"/>
      <c r="CQ74" s="268"/>
      <c r="CR74" s="268"/>
      <c r="CS74" s="268"/>
      <c r="CT74" s="268"/>
      <c r="CU74" s="268"/>
      <c r="CV74" s="268"/>
      <c r="CW74" s="268"/>
      <c r="CX74" s="268"/>
      <c r="CY74" s="268"/>
      <c r="CZ74" s="268"/>
      <c r="DA74" s="268"/>
      <c r="DB74" s="268"/>
      <c r="DC74" s="268"/>
      <c r="DD74" s="268"/>
      <c r="DE74" s="268"/>
      <c r="DF74" s="268"/>
      <c r="DG74" s="268"/>
      <c r="DH74" s="268"/>
      <c r="DI74" s="268"/>
      <c r="DJ74" s="268"/>
      <c r="DK74" s="268"/>
      <c r="DL74" s="268"/>
      <c r="DM74" s="268"/>
      <c r="DN74" s="268"/>
      <c r="DO74" s="268"/>
      <c r="DP74" s="268"/>
      <c r="DQ74" s="268"/>
      <c r="DR74" s="268"/>
      <c r="DS74" s="268"/>
      <c r="DT74" s="268"/>
      <c r="DU74" s="268"/>
      <c r="DV74" s="268"/>
      <c r="DW74" s="268"/>
      <c r="DX74" s="268"/>
      <c r="DY74" s="268"/>
      <c r="DZ74" s="268"/>
      <c r="EA74" s="268"/>
      <c r="EB74" s="268"/>
      <c r="EC74" s="268"/>
      <c r="ED74" s="268"/>
      <c r="EE74" s="268"/>
      <c r="EF74" s="268"/>
      <c r="EG74" s="268"/>
      <c r="EH74" s="268"/>
    </row>
    <row r="75" spans="1:138" ht="15.95" outlineLevel="1">
      <c r="A75" s="474"/>
      <c r="B75" s="609"/>
      <c r="C75" s="320" t="s">
        <v>305</v>
      </c>
      <c r="D75" s="295" t="s">
        <v>245</v>
      </c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  <c r="AD75" s="318"/>
      <c r="AE75" s="318"/>
      <c r="AF75" s="318"/>
      <c r="AG75" s="318"/>
      <c r="AH75" s="318"/>
      <c r="AI75" s="318"/>
      <c r="AJ75" s="318"/>
      <c r="AK75" s="318"/>
      <c r="AL75" s="318"/>
      <c r="AM75" s="318"/>
      <c r="AN75" s="318"/>
      <c r="AO75" s="318"/>
      <c r="AP75" s="318"/>
      <c r="AQ75" s="318"/>
      <c r="AR75" s="318"/>
      <c r="AS75" s="318"/>
      <c r="AT75" s="318"/>
      <c r="AU75" s="318"/>
      <c r="AV75" s="318"/>
      <c r="AW75" s="318"/>
      <c r="AX75" s="318"/>
      <c r="AY75" s="318"/>
      <c r="AZ75" s="318"/>
      <c r="BA75" s="318"/>
      <c r="BB75" s="318"/>
      <c r="BC75" s="318"/>
      <c r="BD75" s="318"/>
      <c r="BE75" s="318"/>
      <c r="BF75" s="318"/>
      <c r="BG75" s="318"/>
      <c r="BH75" s="318"/>
      <c r="BI75" s="318"/>
      <c r="BJ75" s="318"/>
      <c r="BK75" s="318"/>
      <c r="BL75" s="318"/>
      <c r="BM75" s="318"/>
      <c r="BN75" s="318"/>
      <c r="BO75" s="318"/>
      <c r="BP75" s="318"/>
      <c r="BQ75" s="318"/>
      <c r="BR75" s="318"/>
      <c r="BS75" s="318"/>
      <c r="BT75" s="318"/>
      <c r="BU75" s="318"/>
      <c r="BV75" s="318"/>
      <c r="BW75" s="318"/>
      <c r="BX75" s="318"/>
      <c r="BY75" s="319">
        <f t="shared" si="33"/>
        <v>0</v>
      </c>
      <c r="BZ75" s="599"/>
      <c r="CA75" s="268"/>
      <c r="CB75" s="293" t="e">
        <f t="shared" ca="1" si="34"/>
        <v>#REF!</v>
      </c>
      <c r="CC75" s="599"/>
      <c r="CD75" s="268"/>
      <c r="CE75" s="268"/>
      <c r="CF75" s="268"/>
      <c r="CG75" s="268"/>
      <c r="CH75" s="268"/>
      <c r="CI75" s="268"/>
      <c r="CJ75" s="268"/>
      <c r="CK75" s="268"/>
      <c r="CL75" s="268"/>
      <c r="CM75" s="268"/>
      <c r="CN75" s="268"/>
      <c r="CO75" s="268"/>
      <c r="CP75" s="268"/>
      <c r="CQ75" s="268"/>
      <c r="CR75" s="268"/>
      <c r="CS75" s="268"/>
      <c r="CT75" s="268"/>
      <c r="CU75" s="268"/>
      <c r="CV75" s="268"/>
      <c r="CW75" s="268"/>
      <c r="CX75" s="268"/>
      <c r="CY75" s="268"/>
      <c r="CZ75" s="268"/>
      <c r="DA75" s="268"/>
      <c r="DB75" s="268"/>
      <c r="DC75" s="268"/>
      <c r="DD75" s="268"/>
      <c r="DE75" s="268"/>
      <c r="DF75" s="268"/>
      <c r="DG75" s="268"/>
      <c r="DH75" s="268"/>
      <c r="DI75" s="268"/>
      <c r="DJ75" s="268"/>
      <c r="DK75" s="268"/>
      <c r="DL75" s="268"/>
      <c r="DM75" s="268"/>
      <c r="DN75" s="268"/>
      <c r="DO75" s="268"/>
      <c r="DP75" s="268"/>
      <c r="DQ75" s="268"/>
      <c r="DR75" s="268"/>
      <c r="DS75" s="268"/>
      <c r="DT75" s="268"/>
      <c r="DU75" s="268"/>
      <c r="DV75" s="268"/>
      <c r="DW75" s="268"/>
      <c r="DX75" s="268"/>
      <c r="DY75" s="268"/>
      <c r="DZ75" s="268"/>
      <c r="EA75" s="268"/>
      <c r="EB75" s="268"/>
      <c r="EC75" s="268"/>
      <c r="ED75" s="268"/>
      <c r="EE75" s="268"/>
      <c r="EF75" s="268"/>
      <c r="EG75" s="268"/>
      <c r="EH75" s="268"/>
    </row>
    <row r="76" spans="1:138" ht="15.95" outlineLevel="1">
      <c r="A76" s="474"/>
      <c r="B76" s="609"/>
      <c r="C76" s="320" t="s">
        <v>306</v>
      </c>
      <c r="D76" s="295" t="s">
        <v>245</v>
      </c>
      <c r="E76" s="318"/>
      <c r="F76" s="318"/>
      <c r="G76" s="318"/>
      <c r="H76" s="318"/>
      <c r="I76" s="318"/>
      <c r="J76" s="318"/>
      <c r="K76" s="318"/>
      <c r="L76" s="318"/>
      <c r="M76" s="318"/>
      <c r="N76" s="318"/>
      <c r="O76" s="318"/>
      <c r="P76" s="318"/>
      <c r="Q76" s="318"/>
      <c r="R76" s="318"/>
      <c r="S76" s="318"/>
      <c r="T76" s="318"/>
      <c r="U76" s="318"/>
      <c r="V76" s="318"/>
      <c r="W76" s="318"/>
      <c r="X76" s="318"/>
      <c r="Y76" s="318"/>
      <c r="Z76" s="318"/>
      <c r="AA76" s="318"/>
      <c r="AB76" s="318"/>
      <c r="AC76" s="318"/>
      <c r="AD76" s="318"/>
      <c r="AE76" s="318"/>
      <c r="AF76" s="318"/>
      <c r="AG76" s="318"/>
      <c r="AH76" s="318"/>
      <c r="AI76" s="318"/>
      <c r="AJ76" s="318"/>
      <c r="AK76" s="318"/>
      <c r="AL76" s="318"/>
      <c r="AM76" s="318"/>
      <c r="AN76" s="318"/>
      <c r="AO76" s="318"/>
      <c r="AP76" s="318"/>
      <c r="AQ76" s="318"/>
      <c r="AR76" s="318"/>
      <c r="AS76" s="318"/>
      <c r="AT76" s="318"/>
      <c r="AU76" s="318"/>
      <c r="AV76" s="318"/>
      <c r="AW76" s="318"/>
      <c r="AX76" s="318"/>
      <c r="AY76" s="318"/>
      <c r="AZ76" s="318"/>
      <c r="BA76" s="318"/>
      <c r="BB76" s="318"/>
      <c r="BC76" s="318"/>
      <c r="BD76" s="318"/>
      <c r="BE76" s="318"/>
      <c r="BF76" s="318"/>
      <c r="BG76" s="318"/>
      <c r="BH76" s="318"/>
      <c r="BI76" s="318"/>
      <c r="BJ76" s="318"/>
      <c r="BK76" s="318"/>
      <c r="BL76" s="318"/>
      <c r="BM76" s="318"/>
      <c r="BN76" s="318"/>
      <c r="BO76" s="318"/>
      <c r="BP76" s="318"/>
      <c r="BQ76" s="318"/>
      <c r="BR76" s="318"/>
      <c r="BS76" s="318"/>
      <c r="BT76" s="318"/>
      <c r="BU76" s="318"/>
      <c r="BV76" s="318"/>
      <c r="BW76" s="318"/>
      <c r="BX76" s="318"/>
      <c r="BY76" s="319">
        <f t="shared" si="33"/>
        <v>0</v>
      </c>
      <c r="BZ76" s="599"/>
      <c r="CA76" s="268"/>
      <c r="CB76" s="293" t="e">
        <f t="shared" ca="1" si="34"/>
        <v>#REF!</v>
      </c>
      <c r="CC76" s="599"/>
      <c r="CD76" s="268"/>
      <c r="CE76" s="268"/>
      <c r="CF76" s="268"/>
      <c r="CG76" s="268"/>
      <c r="CH76" s="268"/>
      <c r="CI76" s="268"/>
      <c r="CJ76" s="268"/>
      <c r="CK76" s="268"/>
      <c r="CL76" s="268"/>
      <c r="CM76" s="268"/>
      <c r="CN76" s="268"/>
      <c r="CO76" s="268"/>
      <c r="CP76" s="268"/>
      <c r="CQ76" s="268"/>
      <c r="CR76" s="268"/>
      <c r="CS76" s="268"/>
      <c r="CT76" s="268"/>
      <c r="CU76" s="268"/>
      <c r="CV76" s="268"/>
      <c r="CW76" s="268"/>
      <c r="CX76" s="268"/>
      <c r="CY76" s="268"/>
      <c r="CZ76" s="268"/>
      <c r="DA76" s="268"/>
      <c r="DB76" s="268"/>
      <c r="DC76" s="268"/>
      <c r="DD76" s="268"/>
      <c r="DE76" s="268"/>
      <c r="DF76" s="268"/>
      <c r="DG76" s="268"/>
      <c r="DH76" s="268"/>
      <c r="DI76" s="268"/>
      <c r="DJ76" s="268"/>
      <c r="DK76" s="268"/>
      <c r="DL76" s="268"/>
      <c r="DM76" s="268"/>
      <c r="DN76" s="268"/>
      <c r="DO76" s="268"/>
      <c r="DP76" s="268"/>
      <c r="DQ76" s="268"/>
      <c r="DR76" s="268"/>
      <c r="DS76" s="268"/>
      <c r="DT76" s="268"/>
      <c r="DU76" s="268"/>
      <c r="DV76" s="268"/>
      <c r="DW76" s="268"/>
      <c r="DX76" s="268"/>
      <c r="DY76" s="268"/>
      <c r="DZ76" s="268"/>
      <c r="EA76" s="268"/>
      <c r="EB76" s="268"/>
      <c r="EC76" s="268"/>
      <c r="ED76" s="268"/>
      <c r="EE76" s="268"/>
      <c r="EF76" s="268"/>
      <c r="EG76" s="268"/>
      <c r="EH76" s="268"/>
    </row>
    <row r="77" spans="1:138" ht="15.95" outlineLevel="1">
      <c r="A77" s="474"/>
      <c r="B77" s="609"/>
      <c r="C77" s="320" t="s">
        <v>307</v>
      </c>
      <c r="D77" s="295" t="s">
        <v>245</v>
      </c>
      <c r="E77" s="318"/>
      <c r="F77" s="318"/>
      <c r="G77" s="318"/>
      <c r="H77" s="318"/>
      <c r="I77" s="318"/>
      <c r="J77" s="318"/>
      <c r="K77" s="318"/>
      <c r="L77" s="318"/>
      <c r="M77" s="318"/>
      <c r="N77" s="318"/>
      <c r="O77" s="318"/>
      <c r="P77" s="318"/>
      <c r="Q77" s="318"/>
      <c r="R77" s="318"/>
      <c r="S77" s="318"/>
      <c r="T77" s="318"/>
      <c r="U77" s="318"/>
      <c r="V77" s="318"/>
      <c r="W77" s="318"/>
      <c r="X77" s="318"/>
      <c r="Y77" s="318"/>
      <c r="Z77" s="318"/>
      <c r="AA77" s="318"/>
      <c r="AB77" s="318"/>
      <c r="AC77" s="318"/>
      <c r="AD77" s="318"/>
      <c r="AE77" s="318"/>
      <c r="AF77" s="318"/>
      <c r="AG77" s="318"/>
      <c r="AH77" s="318"/>
      <c r="AI77" s="318"/>
      <c r="AJ77" s="318"/>
      <c r="AK77" s="318"/>
      <c r="AL77" s="318"/>
      <c r="AM77" s="318"/>
      <c r="AN77" s="318"/>
      <c r="AO77" s="318"/>
      <c r="AP77" s="318"/>
      <c r="AQ77" s="318"/>
      <c r="AR77" s="318"/>
      <c r="AS77" s="318"/>
      <c r="AT77" s="318"/>
      <c r="AU77" s="318"/>
      <c r="AV77" s="318"/>
      <c r="AW77" s="318"/>
      <c r="AX77" s="318"/>
      <c r="AY77" s="318"/>
      <c r="AZ77" s="318"/>
      <c r="BA77" s="318"/>
      <c r="BB77" s="318"/>
      <c r="BC77" s="318"/>
      <c r="BD77" s="318"/>
      <c r="BE77" s="318"/>
      <c r="BF77" s="318"/>
      <c r="BG77" s="318"/>
      <c r="BH77" s="318"/>
      <c r="BI77" s="318"/>
      <c r="BJ77" s="318"/>
      <c r="BK77" s="318"/>
      <c r="BL77" s="318"/>
      <c r="BM77" s="318"/>
      <c r="BN77" s="318"/>
      <c r="BO77" s="318"/>
      <c r="BP77" s="318"/>
      <c r="BQ77" s="318"/>
      <c r="BR77" s="318"/>
      <c r="BS77" s="318"/>
      <c r="BT77" s="318"/>
      <c r="BU77" s="318"/>
      <c r="BV77" s="318"/>
      <c r="BW77" s="318"/>
      <c r="BX77" s="318"/>
      <c r="BY77" s="319">
        <f t="shared" si="33"/>
        <v>0</v>
      </c>
      <c r="BZ77" s="599"/>
      <c r="CA77" s="268"/>
      <c r="CB77" s="293" t="e">
        <f t="shared" ca="1" si="34"/>
        <v>#REF!</v>
      </c>
      <c r="CC77" s="599"/>
      <c r="CD77" s="268"/>
      <c r="CE77" s="268"/>
      <c r="CF77" s="268"/>
      <c r="CG77" s="268"/>
      <c r="CH77" s="268"/>
      <c r="CI77" s="268"/>
      <c r="CJ77" s="268"/>
      <c r="CK77" s="268"/>
      <c r="CL77" s="268"/>
      <c r="CM77" s="268"/>
      <c r="CN77" s="268"/>
      <c r="CO77" s="268"/>
      <c r="CP77" s="268"/>
      <c r="CQ77" s="268"/>
      <c r="CR77" s="268"/>
      <c r="CS77" s="268"/>
      <c r="CT77" s="268"/>
      <c r="CU77" s="268"/>
      <c r="CV77" s="268"/>
      <c r="CW77" s="268"/>
      <c r="CX77" s="268"/>
      <c r="CY77" s="268"/>
      <c r="CZ77" s="268"/>
      <c r="DA77" s="268"/>
      <c r="DB77" s="268"/>
      <c r="DC77" s="268"/>
      <c r="DD77" s="268"/>
      <c r="DE77" s="268"/>
      <c r="DF77" s="268"/>
      <c r="DG77" s="268"/>
      <c r="DH77" s="268"/>
      <c r="DI77" s="268"/>
      <c r="DJ77" s="268"/>
      <c r="DK77" s="268"/>
      <c r="DL77" s="268"/>
      <c r="DM77" s="268"/>
      <c r="DN77" s="268"/>
      <c r="DO77" s="268"/>
      <c r="DP77" s="268"/>
      <c r="DQ77" s="268"/>
      <c r="DR77" s="268"/>
      <c r="DS77" s="268"/>
      <c r="DT77" s="268"/>
      <c r="DU77" s="268"/>
      <c r="DV77" s="268"/>
      <c r="DW77" s="268"/>
      <c r="DX77" s="268"/>
      <c r="DY77" s="268"/>
      <c r="DZ77" s="268"/>
      <c r="EA77" s="268"/>
      <c r="EB77" s="268"/>
      <c r="EC77" s="268"/>
      <c r="ED77" s="268"/>
      <c r="EE77" s="268"/>
      <c r="EF77" s="268"/>
      <c r="EG77" s="268"/>
      <c r="EH77" s="268"/>
    </row>
    <row r="78" spans="1:138" ht="15.95" outlineLevel="1">
      <c r="A78" s="474"/>
      <c r="B78" s="609"/>
      <c r="C78" s="320" t="s">
        <v>308</v>
      </c>
      <c r="D78" s="295" t="s">
        <v>245</v>
      </c>
      <c r="E78" s="318"/>
      <c r="F78" s="318"/>
      <c r="G78" s="318"/>
      <c r="H78" s="318"/>
      <c r="I78" s="318"/>
      <c r="J78" s="318"/>
      <c r="K78" s="318"/>
      <c r="L78" s="318"/>
      <c r="M78" s="318"/>
      <c r="N78" s="318"/>
      <c r="O78" s="318"/>
      <c r="P78" s="318"/>
      <c r="Q78" s="318"/>
      <c r="R78" s="318"/>
      <c r="S78" s="318"/>
      <c r="T78" s="318"/>
      <c r="U78" s="318"/>
      <c r="V78" s="318"/>
      <c r="W78" s="318"/>
      <c r="X78" s="318"/>
      <c r="Y78" s="318"/>
      <c r="Z78" s="318"/>
      <c r="AA78" s="318"/>
      <c r="AB78" s="318"/>
      <c r="AC78" s="318"/>
      <c r="AD78" s="318"/>
      <c r="AE78" s="318"/>
      <c r="AF78" s="318"/>
      <c r="AG78" s="318"/>
      <c r="AH78" s="318"/>
      <c r="AI78" s="318"/>
      <c r="AJ78" s="318"/>
      <c r="AK78" s="318"/>
      <c r="AL78" s="318"/>
      <c r="AM78" s="318"/>
      <c r="AN78" s="318"/>
      <c r="AO78" s="318"/>
      <c r="AP78" s="318"/>
      <c r="AQ78" s="318"/>
      <c r="AR78" s="318"/>
      <c r="AS78" s="318"/>
      <c r="AT78" s="318"/>
      <c r="AU78" s="318"/>
      <c r="AV78" s="318"/>
      <c r="AW78" s="318"/>
      <c r="AX78" s="318"/>
      <c r="AY78" s="318"/>
      <c r="AZ78" s="318"/>
      <c r="BA78" s="318"/>
      <c r="BB78" s="318"/>
      <c r="BC78" s="318"/>
      <c r="BD78" s="318"/>
      <c r="BE78" s="318"/>
      <c r="BF78" s="318"/>
      <c r="BG78" s="318"/>
      <c r="BH78" s="318"/>
      <c r="BI78" s="318"/>
      <c r="BJ78" s="318"/>
      <c r="BK78" s="318"/>
      <c r="BL78" s="318"/>
      <c r="BM78" s="318"/>
      <c r="BN78" s="318"/>
      <c r="BO78" s="318"/>
      <c r="BP78" s="318"/>
      <c r="BQ78" s="318"/>
      <c r="BR78" s="318"/>
      <c r="BS78" s="318"/>
      <c r="BT78" s="318"/>
      <c r="BU78" s="318"/>
      <c r="BV78" s="318"/>
      <c r="BW78" s="318"/>
      <c r="BX78" s="318"/>
      <c r="BY78" s="319">
        <f t="shared" si="33"/>
        <v>0</v>
      </c>
      <c r="BZ78" s="599"/>
      <c r="CA78" s="268"/>
      <c r="CB78" s="293" t="e">
        <f t="shared" ca="1" si="34"/>
        <v>#N/A</v>
      </c>
      <c r="CC78" s="599"/>
      <c r="CD78" s="268"/>
      <c r="CE78" s="268"/>
      <c r="CF78" s="268"/>
      <c r="CG78" s="268"/>
      <c r="CH78" s="268"/>
      <c r="CI78" s="268"/>
      <c r="CJ78" s="268"/>
      <c r="CK78" s="268"/>
      <c r="CL78" s="268"/>
      <c r="CM78" s="268"/>
      <c r="CN78" s="268"/>
      <c r="CO78" s="268"/>
      <c r="CP78" s="268"/>
      <c r="CQ78" s="268"/>
      <c r="CR78" s="268"/>
      <c r="CS78" s="268"/>
      <c r="CT78" s="268"/>
      <c r="CU78" s="268"/>
      <c r="CV78" s="268"/>
      <c r="CW78" s="268"/>
      <c r="CX78" s="268"/>
      <c r="CY78" s="268"/>
      <c r="CZ78" s="268"/>
      <c r="DA78" s="268"/>
      <c r="DB78" s="268"/>
      <c r="DC78" s="268"/>
      <c r="DD78" s="268"/>
      <c r="DE78" s="268"/>
      <c r="DF78" s="268"/>
      <c r="DG78" s="268"/>
      <c r="DH78" s="268"/>
      <c r="DI78" s="268"/>
      <c r="DJ78" s="268"/>
      <c r="DK78" s="268"/>
      <c r="DL78" s="268"/>
      <c r="DM78" s="268"/>
      <c r="DN78" s="268"/>
      <c r="DO78" s="268"/>
      <c r="DP78" s="268"/>
      <c r="DQ78" s="268"/>
      <c r="DR78" s="268"/>
      <c r="DS78" s="268"/>
      <c r="DT78" s="268"/>
      <c r="DU78" s="268"/>
      <c r="DV78" s="268"/>
      <c r="DW78" s="268"/>
      <c r="DX78" s="268"/>
      <c r="DY78" s="268"/>
      <c r="DZ78" s="268"/>
      <c r="EA78" s="268"/>
      <c r="EB78" s="268"/>
      <c r="EC78" s="268"/>
      <c r="ED78" s="268"/>
      <c r="EE78" s="268"/>
      <c r="EF78" s="268"/>
      <c r="EG78" s="268"/>
      <c r="EH78" s="268"/>
    </row>
    <row r="79" spans="1:138" ht="15.95" outlineLevel="1">
      <c r="A79" s="474"/>
      <c r="B79" s="609"/>
      <c r="C79" s="320" t="s">
        <v>309</v>
      </c>
      <c r="D79" s="295" t="s">
        <v>245</v>
      </c>
      <c r="E79" s="318"/>
      <c r="F79" s="318"/>
      <c r="G79" s="318"/>
      <c r="H79" s="318"/>
      <c r="I79" s="318"/>
      <c r="J79" s="318"/>
      <c r="K79" s="318"/>
      <c r="L79" s="318"/>
      <c r="M79" s="318"/>
      <c r="N79" s="318"/>
      <c r="O79" s="318"/>
      <c r="P79" s="318"/>
      <c r="Q79" s="318"/>
      <c r="R79" s="318"/>
      <c r="S79" s="318"/>
      <c r="T79" s="318"/>
      <c r="U79" s="318"/>
      <c r="V79" s="318"/>
      <c r="W79" s="318"/>
      <c r="X79" s="318"/>
      <c r="Y79" s="318"/>
      <c r="Z79" s="318"/>
      <c r="AA79" s="318"/>
      <c r="AB79" s="318"/>
      <c r="AC79" s="318">
        <f>-Businessplan_prodej!N23/12</f>
        <v>-125504</v>
      </c>
      <c r="AD79" s="318"/>
      <c r="AE79" s="318"/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318"/>
      <c r="AU79" s="318"/>
      <c r="AV79" s="318"/>
      <c r="AW79" s="318"/>
      <c r="AX79" s="318"/>
      <c r="AY79" s="318"/>
      <c r="AZ79" s="318"/>
      <c r="BA79" s="318"/>
      <c r="BB79" s="318"/>
      <c r="BC79" s="318"/>
      <c r="BD79" s="318"/>
      <c r="BE79" s="318"/>
      <c r="BF79" s="318"/>
      <c r="BG79" s="318"/>
      <c r="BH79" s="318"/>
      <c r="BI79" s="318"/>
      <c r="BJ79" s="318"/>
      <c r="BK79" s="318"/>
      <c r="BL79" s="318"/>
      <c r="BM79" s="318"/>
      <c r="BN79" s="318"/>
      <c r="BO79" s="318"/>
      <c r="BP79" s="318"/>
      <c r="BQ79" s="318"/>
      <c r="BR79" s="318"/>
      <c r="BS79" s="318"/>
      <c r="BT79" s="318"/>
      <c r="BU79" s="318"/>
      <c r="BV79" s="318"/>
      <c r="BW79" s="318"/>
      <c r="BX79" s="318"/>
      <c r="BY79" s="319">
        <f t="shared" si="33"/>
        <v>-125504</v>
      </c>
      <c r="BZ79" s="599"/>
      <c r="CA79" s="268" t="s">
        <v>310</v>
      </c>
      <c r="CB79" s="293" t="e">
        <f t="shared" ca="1" si="34"/>
        <v>#REF!</v>
      </c>
      <c r="CC79" s="599"/>
      <c r="CD79" s="268"/>
      <c r="CE79" s="268"/>
      <c r="CF79" s="268"/>
      <c r="CG79" s="268"/>
      <c r="CH79" s="268"/>
      <c r="CI79" s="268"/>
      <c r="CJ79" s="268"/>
      <c r="CK79" s="268"/>
      <c r="CL79" s="268"/>
      <c r="CM79" s="268"/>
      <c r="CN79" s="268"/>
      <c r="CO79" s="268"/>
      <c r="CP79" s="268"/>
      <c r="CQ79" s="268"/>
      <c r="CR79" s="268"/>
      <c r="CS79" s="268"/>
      <c r="CT79" s="268"/>
      <c r="CU79" s="268"/>
      <c r="CV79" s="268"/>
      <c r="CW79" s="268"/>
      <c r="CX79" s="268"/>
      <c r="CY79" s="268"/>
      <c r="CZ79" s="268"/>
      <c r="DA79" s="268"/>
      <c r="DB79" s="268"/>
      <c r="DC79" s="268"/>
      <c r="DD79" s="268"/>
      <c r="DE79" s="268"/>
      <c r="DF79" s="268"/>
      <c r="DG79" s="268"/>
      <c r="DH79" s="268"/>
      <c r="DI79" s="268"/>
      <c r="DJ79" s="268"/>
      <c r="DK79" s="268"/>
      <c r="DL79" s="268"/>
      <c r="DM79" s="268"/>
      <c r="DN79" s="268"/>
      <c r="DO79" s="268"/>
      <c r="DP79" s="268"/>
      <c r="DQ79" s="268"/>
      <c r="DR79" s="268"/>
      <c r="DS79" s="268"/>
      <c r="DT79" s="268"/>
      <c r="DU79" s="268"/>
      <c r="DV79" s="268"/>
      <c r="DW79" s="268"/>
      <c r="DX79" s="268"/>
      <c r="DY79" s="268"/>
      <c r="DZ79" s="268"/>
      <c r="EA79" s="268"/>
      <c r="EB79" s="268"/>
      <c r="EC79" s="268"/>
      <c r="ED79" s="268"/>
      <c r="EE79" s="268"/>
      <c r="EF79" s="268"/>
      <c r="EG79" s="268"/>
      <c r="EH79" s="268"/>
    </row>
    <row r="80" spans="1:138" ht="15.95" outlineLevel="1">
      <c r="A80" s="474"/>
      <c r="B80" s="609"/>
      <c r="C80" s="320" t="s">
        <v>311</v>
      </c>
      <c r="D80" s="295" t="s">
        <v>245</v>
      </c>
      <c r="E80" s="318"/>
      <c r="F80" s="318"/>
      <c r="G80" s="318"/>
      <c r="H80" s="318"/>
      <c r="I80" s="318"/>
      <c r="J80" s="318"/>
      <c r="K80" s="318"/>
      <c r="L80" s="318"/>
      <c r="M80" s="318"/>
      <c r="N80" s="318"/>
      <c r="O80" s="318"/>
      <c r="P80" s="318"/>
      <c r="Q80" s="318"/>
      <c r="R80" s="318"/>
      <c r="S80" s="318"/>
      <c r="T80" s="318"/>
      <c r="U80" s="318"/>
      <c r="V80" s="318"/>
      <c r="W80" s="318"/>
      <c r="X80" s="318"/>
      <c r="Y80" s="318"/>
      <c r="Z80" s="318"/>
      <c r="AA80" s="318"/>
      <c r="AB80" s="318"/>
      <c r="AC80" s="318"/>
      <c r="AD80" s="318"/>
      <c r="AE80" s="318"/>
      <c r="AF80" s="318"/>
      <c r="AG80" s="318"/>
      <c r="AH80" s="318"/>
      <c r="AI80" s="318"/>
      <c r="AJ80" s="318"/>
      <c r="AK80" s="318"/>
      <c r="AL80" s="318"/>
      <c r="AM80" s="318"/>
      <c r="AN80" s="318"/>
      <c r="AO80" s="318"/>
      <c r="AP80" s="318"/>
      <c r="AQ80" s="318"/>
      <c r="AR80" s="318"/>
      <c r="AS80" s="318"/>
      <c r="AT80" s="318"/>
      <c r="AU80" s="318"/>
      <c r="AV80" s="318"/>
      <c r="AW80" s="318"/>
      <c r="AX80" s="318"/>
      <c r="AY80" s="318"/>
      <c r="AZ80" s="318"/>
      <c r="BA80" s="318"/>
      <c r="BB80" s="318"/>
      <c r="BC80" s="318"/>
      <c r="BD80" s="318"/>
      <c r="BE80" s="318"/>
      <c r="BF80" s="318"/>
      <c r="BG80" s="318"/>
      <c r="BH80" s="318"/>
      <c r="BI80" s="318"/>
      <c r="BJ80" s="318"/>
      <c r="BK80" s="318"/>
      <c r="BL80" s="318"/>
      <c r="BM80" s="318"/>
      <c r="BN80" s="318"/>
      <c r="BO80" s="318"/>
      <c r="BP80" s="318"/>
      <c r="BQ80" s="318"/>
      <c r="BR80" s="318"/>
      <c r="BS80" s="318"/>
      <c r="BT80" s="318"/>
      <c r="BU80" s="318"/>
      <c r="BV80" s="318"/>
      <c r="BW80" s="318"/>
      <c r="BX80" s="318"/>
      <c r="BY80" s="319">
        <f t="shared" si="33"/>
        <v>0</v>
      </c>
      <c r="BZ80" s="599"/>
      <c r="CA80" s="268"/>
      <c r="CB80" s="293" t="e">
        <f t="shared" ca="1" si="34"/>
        <v>#REF!</v>
      </c>
      <c r="CC80" s="599"/>
      <c r="CD80" s="268"/>
      <c r="CE80" s="268"/>
      <c r="CF80" s="268"/>
      <c r="CG80" s="268"/>
      <c r="CH80" s="268"/>
      <c r="CI80" s="268"/>
      <c r="CJ80" s="268"/>
      <c r="CK80" s="268"/>
      <c r="CL80" s="268"/>
      <c r="CM80" s="268"/>
      <c r="CN80" s="268"/>
      <c r="CO80" s="268"/>
      <c r="CP80" s="268"/>
      <c r="CQ80" s="268"/>
      <c r="CR80" s="268"/>
      <c r="CS80" s="268"/>
      <c r="CT80" s="268"/>
      <c r="CU80" s="268"/>
      <c r="CV80" s="268"/>
      <c r="CW80" s="268"/>
      <c r="CX80" s="268"/>
      <c r="CY80" s="268"/>
      <c r="CZ80" s="268"/>
      <c r="DA80" s="268"/>
      <c r="DB80" s="268"/>
      <c r="DC80" s="268"/>
      <c r="DD80" s="268"/>
      <c r="DE80" s="268"/>
      <c r="DF80" s="268"/>
      <c r="DG80" s="268"/>
      <c r="DH80" s="268"/>
      <c r="DI80" s="268"/>
      <c r="DJ80" s="268"/>
      <c r="DK80" s="268"/>
      <c r="DL80" s="268"/>
      <c r="DM80" s="268"/>
      <c r="DN80" s="268"/>
      <c r="DO80" s="268"/>
      <c r="DP80" s="268"/>
      <c r="DQ80" s="268"/>
      <c r="DR80" s="268"/>
      <c r="DS80" s="268"/>
      <c r="DT80" s="268"/>
      <c r="DU80" s="268"/>
      <c r="DV80" s="268"/>
      <c r="DW80" s="268"/>
      <c r="DX80" s="268"/>
      <c r="DY80" s="268"/>
      <c r="DZ80" s="268"/>
      <c r="EA80" s="268"/>
      <c r="EB80" s="268"/>
      <c r="EC80" s="268"/>
      <c r="ED80" s="268"/>
      <c r="EE80" s="268"/>
      <c r="EF80" s="268"/>
      <c r="EG80" s="268"/>
      <c r="EH80" s="268"/>
    </row>
    <row r="81" spans="1:138" ht="15.95" outlineLevel="1">
      <c r="A81" s="474"/>
      <c r="B81" s="609"/>
      <c r="C81" s="321" t="s">
        <v>275</v>
      </c>
      <c r="D81" s="295" t="s">
        <v>245</v>
      </c>
      <c r="E81" s="318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  <c r="BJ81" s="296"/>
      <c r="BK81" s="296"/>
      <c r="BL81" s="296"/>
      <c r="BM81" s="296"/>
      <c r="BN81" s="296"/>
      <c r="BO81" s="296"/>
      <c r="BP81" s="296"/>
      <c r="BQ81" s="296"/>
      <c r="BR81" s="296"/>
      <c r="BS81" s="296"/>
      <c r="BT81" s="296"/>
      <c r="BU81" s="296"/>
      <c r="BV81" s="296"/>
      <c r="BW81" s="296"/>
      <c r="BX81" s="296"/>
      <c r="BY81" s="319">
        <f t="shared" si="33"/>
        <v>0</v>
      </c>
      <c r="BZ81" s="599"/>
      <c r="CA81" s="268"/>
      <c r="CB81" s="293" t="e">
        <f t="shared" ca="1" si="34"/>
        <v>#N/A</v>
      </c>
      <c r="CC81" s="599"/>
      <c r="CD81" s="268"/>
      <c r="CE81" s="268"/>
      <c r="CF81" s="268"/>
      <c r="CG81" s="268"/>
      <c r="CH81" s="268"/>
      <c r="CI81" s="268"/>
      <c r="CJ81" s="268"/>
      <c r="CK81" s="268"/>
      <c r="CL81" s="268"/>
      <c r="CM81" s="268"/>
      <c r="CN81" s="268"/>
      <c r="CO81" s="268"/>
      <c r="CP81" s="268"/>
      <c r="CQ81" s="268"/>
      <c r="CR81" s="268"/>
      <c r="CS81" s="268"/>
      <c r="CT81" s="268"/>
      <c r="CU81" s="268"/>
      <c r="CV81" s="268"/>
      <c r="CW81" s="268"/>
      <c r="CX81" s="268"/>
      <c r="CY81" s="268"/>
      <c r="CZ81" s="268"/>
      <c r="DA81" s="268"/>
      <c r="DB81" s="268"/>
      <c r="DC81" s="268"/>
      <c r="DD81" s="268"/>
      <c r="DE81" s="268"/>
      <c r="DF81" s="268"/>
      <c r="DG81" s="268"/>
      <c r="DH81" s="268"/>
      <c r="DI81" s="268"/>
      <c r="DJ81" s="268"/>
      <c r="DK81" s="268"/>
      <c r="DL81" s="268"/>
      <c r="DM81" s="268"/>
      <c r="DN81" s="268"/>
      <c r="DO81" s="268"/>
      <c r="DP81" s="268"/>
      <c r="DQ81" s="268"/>
      <c r="DR81" s="268"/>
      <c r="DS81" s="268"/>
      <c r="DT81" s="268"/>
      <c r="DU81" s="268"/>
      <c r="DV81" s="268"/>
      <c r="DW81" s="268"/>
      <c r="DX81" s="268"/>
      <c r="DY81" s="268"/>
      <c r="DZ81" s="268"/>
      <c r="EA81" s="268"/>
      <c r="EB81" s="268"/>
      <c r="EC81" s="268"/>
      <c r="ED81" s="268"/>
      <c r="EE81" s="268"/>
      <c r="EF81" s="268"/>
      <c r="EG81" s="268"/>
      <c r="EH81" s="268"/>
    </row>
    <row r="82" spans="1:138" ht="15.95" outlineLevel="1">
      <c r="A82" s="474"/>
      <c r="B82" s="609"/>
      <c r="C82" s="320" t="s">
        <v>276</v>
      </c>
      <c r="D82" s="295" t="s">
        <v>245</v>
      </c>
      <c r="E82" s="318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  <c r="BJ82" s="296"/>
      <c r="BK82" s="296"/>
      <c r="BL82" s="296"/>
      <c r="BM82" s="296"/>
      <c r="BN82" s="296"/>
      <c r="BO82" s="296"/>
      <c r="BP82" s="296"/>
      <c r="BQ82" s="296"/>
      <c r="BR82" s="296"/>
      <c r="BS82" s="296"/>
      <c r="BT82" s="296"/>
      <c r="BU82" s="296"/>
      <c r="BV82" s="296"/>
      <c r="BW82" s="296"/>
      <c r="BX82" s="296"/>
      <c r="BY82" s="319">
        <f t="shared" si="33"/>
        <v>0</v>
      </c>
      <c r="BZ82" s="599"/>
      <c r="CA82" s="268"/>
      <c r="CB82" s="293" t="e">
        <f t="shared" ca="1" si="34"/>
        <v>#REF!</v>
      </c>
      <c r="CC82" s="599"/>
      <c r="CD82" s="268"/>
      <c r="CE82" s="268"/>
      <c r="CF82" s="268"/>
      <c r="CG82" s="268"/>
      <c r="CH82" s="268"/>
      <c r="CI82" s="268"/>
      <c r="CJ82" s="268"/>
      <c r="CK82" s="268"/>
      <c r="CL82" s="268"/>
      <c r="CM82" s="268"/>
      <c r="CN82" s="268"/>
      <c r="CO82" s="268"/>
      <c r="CP82" s="268"/>
      <c r="CQ82" s="268"/>
      <c r="CR82" s="268"/>
      <c r="CS82" s="268"/>
      <c r="CT82" s="268"/>
      <c r="CU82" s="268"/>
      <c r="CV82" s="268"/>
      <c r="CW82" s="268"/>
      <c r="CX82" s="268"/>
      <c r="CY82" s="268"/>
      <c r="CZ82" s="268"/>
      <c r="DA82" s="268"/>
      <c r="DB82" s="268"/>
      <c r="DC82" s="268"/>
      <c r="DD82" s="268"/>
      <c r="DE82" s="268"/>
      <c r="DF82" s="268"/>
      <c r="DG82" s="268"/>
      <c r="DH82" s="268"/>
      <c r="DI82" s="268"/>
      <c r="DJ82" s="268"/>
      <c r="DK82" s="268"/>
      <c r="DL82" s="268"/>
      <c r="DM82" s="268"/>
      <c r="DN82" s="268"/>
      <c r="DO82" s="268"/>
      <c r="DP82" s="268"/>
      <c r="DQ82" s="268"/>
      <c r="DR82" s="268"/>
      <c r="DS82" s="268"/>
      <c r="DT82" s="268"/>
      <c r="DU82" s="268"/>
      <c r="DV82" s="268"/>
      <c r="DW82" s="268"/>
      <c r="DX82" s="268"/>
      <c r="DY82" s="268"/>
      <c r="DZ82" s="268"/>
      <c r="EA82" s="268"/>
      <c r="EB82" s="268"/>
      <c r="EC82" s="268"/>
      <c r="ED82" s="268"/>
      <c r="EE82" s="268"/>
      <c r="EF82" s="268"/>
      <c r="EG82" s="268"/>
      <c r="EH82" s="268"/>
    </row>
    <row r="83" spans="1:138" ht="15.95" outlineLevel="1">
      <c r="A83" s="474"/>
      <c r="B83" s="609"/>
      <c r="C83" s="320" t="s">
        <v>282</v>
      </c>
      <c r="D83" s="295" t="s">
        <v>245</v>
      </c>
      <c r="E83" s="318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  <c r="BJ83" s="296"/>
      <c r="BK83" s="296"/>
      <c r="BL83" s="296"/>
      <c r="BM83" s="296"/>
      <c r="BN83" s="296"/>
      <c r="BO83" s="296"/>
      <c r="BP83" s="296"/>
      <c r="BQ83" s="296"/>
      <c r="BR83" s="296"/>
      <c r="BS83" s="296"/>
      <c r="BT83" s="296"/>
      <c r="BU83" s="296"/>
      <c r="BV83" s="296"/>
      <c r="BW83" s="296"/>
      <c r="BX83" s="296"/>
      <c r="BY83" s="319">
        <f t="shared" si="33"/>
        <v>0</v>
      </c>
      <c r="BZ83" s="599"/>
      <c r="CA83" s="268"/>
      <c r="CB83" s="293" t="e">
        <f t="shared" ca="1" si="34"/>
        <v>#REF!</v>
      </c>
      <c r="CC83" s="599"/>
      <c r="CD83" s="268"/>
      <c r="CE83" s="268"/>
      <c r="CF83" s="268"/>
      <c r="CG83" s="268"/>
      <c r="CH83" s="268"/>
      <c r="CI83" s="268"/>
      <c r="CJ83" s="268"/>
      <c r="CK83" s="268"/>
      <c r="CL83" s="268"/>
      <c r="CM83" s="268"/>
      <c r="CN83" s="268"/>
      <c r="CO83" s="268"/>
      <c r="CP83" s="268"/>
      <c r="CQ83" s="268"/>
      <c r="CR83" s="268"/>
      <c r="CS83" s="268"/>
      <c r="CT83" s="268"/>
      <c r="CU83" s="268"/>
      <c r="CV83" s="268"/>
      <c r="CW83" s="268"/>
      <c r="CX83" s="268"/>
      <c r="CY83" s="268"/>
      <c r="CZ83" s="268"/>
      <c r="DA83" s="268"/>
      <c r="DB83" s="268"/>
      <c r="DC83" s="268"/>
      <c r="DD83" s="268"/>
      <c r="DE83" s="268"/>
      <c r="DF83" s="268"/>
      <c r="DG83" s="268"/>
      <c r="DH83" s="268"/>
      <c r="DI83" s="268"/>
      <c r="DJ83" s="268"/>
      <c r="DK83" s="268"/>
      <c r="DL83" s="268"/>
      <c r="DM83" s="268"/>
      <c r="DN83" s="268"/>
      <c r="DO83" s="268"/>
      <c r="DP83" s="268"/>
      <c r="DQ83" s="268"/>
      <c r="DR83" s="268"/>
      <c r="DS83" s="268"/>
      <c r="DT83" s="268"/>
      <c r="DU83" s="268"/>
      <c r="DV83" s="268"/>
      <c r="DW83" s="268"/>
      <c r="DX83" s="268"/>
      <c r="DY83" s="268"/>
      <c r="DZ83" s="268"/>
      <c r="EA83" s="268"/>
      <c r="EB83" s="268"/>
      <c r="EC83" s="268"/>
      <c r="ED83" s="268"/>
      <c r="EE83" s="268"/>
      <c r="EF83" s="268"/>
      <c r="EG83" s="268"/>
      <c r="EH83" s="268"/>
    </row>
    <row r="84" spans="1:138" ht="15.95" outlineLevel="1">
      <c r="A84" s="474"/>
      <c r="B84" s="609"/>
      <c r="C84" s="320" t="s">
        <v>283</v>
      </c>
      <c r="D84" s="295" t="s">
        <v>245</v>
      </c>
      <c r="E84" s="318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319">
        <f t="shared" si="33"/>
        <v>0</v>
      </c>
      <c r="BZ84" s="599"/>
      <c r="CA84" s="268"/>
      <c r="CB84" s="293" t="e">
        <f t="shared" ca="1" si="34"/>
        <v>#REF!</v>
      </c>
      <c r="CC84" s="599"/>
      <c r="CD84" s="268"/>
      <c r="CE84" s="268"/>
      <c r="CF84" s="268"/>
      <c r="CG84" s="268"/>
      <c r="CH84" s="268"/>
      <c r="CI84" s="268"/>
      <c r="CJ84" s="268"/>
      <c r="CK84" s="268"/>
      <c r="CL84" s="268"/>
      <c r="CM84" s="268"/>
      <c r="CN84" s="268"/>
      <c r="CO84" s="268"/>
      <c r="CP84" s="268"/>
      <c r="CQ84" s="268"/>
      <c r="CR84" s="268"/>
      <c r="CS84" s="268"/>
      <c r="CT84" s="268"/>
      <c r="CU84" s="268"/>
      <c r="CV84" s="268"/>
      <c r="CW84" s="268"/>
      <c r="CX84" s="268"/>
      <c r="CY84" s="268"/>
      <c r="CZ84" s="268"/>
      <c r="DA84" s="268"/>
      <c r="DB84" s="268"/>
      <c r="DC84" s="268"/>
      <c r="DD84" s="268"/>
      <c r="DE84" s="268"/>
      <c r="DF84" s="268"/>
      <c r="DG84" s="268"/>
      <c r="DH84" s="268"/>
      <c r="DI84" s="268"/>
      <c r="DJ84" s="268"/>
      <c r="DK84" s="268"/>
      <c r="DL84" s="268"/>
      <c r="DM84" s="268"/>
      <c r="DN84" s="268"/>
      <c r="DO84" s="268"/>
      <c r="DP84" s="268"/>
      <c r="DQ84" s="268"/>
      <c r="DR84" s="268"/>
      <c r="DS84" s="268"/>
      <c r="DT84" s="268"/>
      <c r="DU84" s="268"/>
      <c r="DV84" s="268"/>
      <c r="DW84" s="268"/>
      <c r="DX84" s="268"/>
      <c r="DY84" s="268"/>
      <c r="DZ84" s="268"/>
      <c r="EA84" s="268"/>
      <c r="EB84" s="268"/>
      <c r="EC84" s="268"/>
      <c r="ED84" s="268"/>
      <c r="EE84" s="268"/>
      <c r="EF84" s="268"/>
      <c r="EG84" s="268"/>
      <c r="EH84" s="268"/>
    </row>
    <row r="85" spans="1:138" ht="15.95" outlineLevel="1">
      <c r="A85" s="474"/>
      <c r="B85" s="609"/>
      <c r="C85" s="322" t="s">
        <v>312</v>
      </c>
      <c r="D85" s="298" t="s">
        <v>245</v>
      </c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  <c r="AI85" s="323"/>
      <c r="AJ85" s="323"/>
      <c r="AK85" s="323"/>
      <c r="AL85" s="323"/>
      <c r="AM85" s="323"/>
      <c r="AN85" s="323"/>
      <c r="AO85" s="323"/>
      <c r="AP85" s="323"/>
      <c r="AQ85" s="323"/>
      <c r="AR85" s="323"/>
      <c r="AS85" s="323"/>
      <c r="AT85" s="323"/>
      <c r="AU85" s="323"/>
      <c r="AV85" s="323"/>
      <c r="AW85" s="323"/>
      <c r="AX85" s="323"/>
      <c r="AY85" s="323"/>
      <c r="AZ85" s="323"/>
      <c r="BA85" s="323"/>
      <c r="BB85" s="323"/>
      <c r="BC85" s="323"/>
      <c r="BD85" s="323"/>
      <c r="BE85" s="323"/>
      <c r="BF85" s="323"/>
      <c r="BG85" s="323"/>
      <c r="BH85" s="323"/>
      <c r="BI85" s="323"/>
      <c r="BJ85" s="323"/>
      <c r="BK85" s="323"/>
      <c r="BL85" s="323"/>
      <c r="BM85" s="323"/>
      <c r="BN85" s="323"/>
      <c r="BO85" s="323"/>
      <c r="BP85" s="323"/>
      <c r="BQ85" s="323"/>
      <c r="BR85" s="323"/>
      <c r="BS85" s="323"/>
      <c r="BT85" s="323"/>
      <c r="BU85" s="323"/>
      <c r="BV85" s="323"/>
      <c r="BW85" s="323"/>
      <c r="BX85" s="323"/>
      <c r="BY85" s="319">
        <f t="shared" si="33"/>
        <v>0</v>
      </c>
      <c r="BZ85" s="599"/>
      <c r="CA85" s="268"/>
      <c r="CB85" s="293" t="e">
        <f t="array" aca="1" ref="CB85" ca="1">SUM(INDEX(AC85:BX85, , 1):INDEX(AC85:BX85, ,MATCH(CB43, E41:BX41,0) ))</f>
        <v>#REF!</v>
      </c>
      <c r="CC85" s="599"/>
      <c r="CD85" s="268"/>
      <c r="CE85" s="268"/>
      <c r="CF85" s="268"/>
      <c r="CG85" s="268"/>
      <c r="CH85" s="268"/>
      <c r="CI85" s="268"/>
      <c r="CJ85" s="268"/>
      <c r="CK85" s="268"/>
      <c r="CL85" s="268"/>
      <c r="CM85" s="268"/>
      <c r="CN85" s="268"/>
      <c r="CO85" s="268"/>
      <c r="CP85" s="268"/>
      <c r="CQ85" s="268"/>
      <c r="CR85" s="268"/>
      <c r="CS85" s="268"/>
      <c r="CT85" s="268"/>
      <c r="CU85" s="268"/>
      <c r="CV85" s="268"/>
      <c r="CW85" s="268"/>
      <c r="CX85" s="268"/>
      <c r="CY85" s="268"/>
      <c r="CZ85" s="268"/>
      <c r="DA85" s="268"/>
      <c r="DB85" s="268"/>
      <c r="DC85" s="268"/>
      <c r="DD85" s="268"/>
      <c r="DE85" s="268"/>
      <c r="DF85" s="268"/>
      <c r="DG85" s="268"/>
      <c r="DH85" s="268"/>
      <c r="DI85" s="268"/>
      <c r="DJ85" s="268"/>
      <c r="DK85" s="268"/>
      <c r="DL85" s="268"/>
      <c r="DM85" s="268"/>
      <c r="DN85" s="268"/>
      <c r="DO85" s="268"/>
      <c r="DP85" s="268"/>
      <c r="DQ85" s="268"/>
      <c r="DR85" s="268"/>
      <c r="DS85" s="268"/>
      <c r="DT85" s="268"/>
      <c r="DU85" s="268"/>
      <c r="DV85" s="268"/>
      <c r="DW85" s="268"/>
      <c r="DX85" s="268"/>
      <c r="DY85" s="268"/>
      <c r="DZ85" s="268"/>
      <c r="EA85" s="268"/>
      <c r="EB85" s="268"/>
      <c r="EC85" s="268"/>
      <c r="ED85" s="268"/>
      <c r="EE85" s="268"/>
      <c r="EF85" s="268"/>
      <c r="EG85" s="268"/>
      <c r="EH85" s="268"/>
    </row>
    <row r="86" spans="1:138" ht="15.95">
      <c r="A86" s="474"/>
      <c r="B86" s="609"/>
      <c r="C86" s="289" t="s">
        <v>313</v>
      </c>
      <c r="D86" s="290"/>
      <c r="E86" s="291">
        <f t="shared" ref="E86:BY86" si="35">SUM(E87:E88)</f>
        <v>0</v>
      </c>
      <c r="F86" s="291">
        <f t="shared" si="35"/>
        <v>0</v>
      </c>
      <c r="G86" s="291">
        <f t="shared" si="35"/>
        <v>0</v>
      </c>
      <c r="H86" s="291">
        <f t="shared" si="35"/>
        <v>0</v>
      </c>
      <c r="I86" s="291">
        <f t="shared" si="35"/>
        <v>0</v>
      </c>
      <c r="J86" s="291">
        <f t="shared" si="35"/>
        <v>0</v>
      </c>
      <c r="K86" s="291">
        <f t="shared" si="35"/>
        <v>0</v>
      </c>
      <c r="L86" s="291">
        <f t="shared" si="35"/>
        <v>0</v>
      </c>
      <c r="M86" s="291">
        <f t="shared" si="35"/>
        <v>0</v>
      </c>
      <c r="N86" s="291">
        <f t="shared" si="35"/>
        <v>0</v>
      </c>
      <c r="O86" s="291">
        <f t="shared" si="35"/>
        <v>0</v>
      </c>
      <c r="P86" s="291">
        <f t="shared" si="35"/>
        <v>0</v>
      </c>
      <c r="Q86" s="291">
        <f t="shared" si="35"/>
        <v>0</v>
      </c>
      <c r="R86" s="291">
        <f t="shared" si="35"/>
        <v>0</v>
      </c>
      <c r="S86" s="291">
        <f t="shared" si="35"/>
        <v>0</v>
      </c>
      <c r="T86" s="291">
        <f t="shared" si="35"/>
        <v>0</v>
      </c>
      <c r="U86" s="291">
        <f t="shared" si="35"/>
        <v>0</v>
      </c>
      <c r="V86" s="291">
        <f t="shared" si="35"/>
        <v>0</v>
      </c>
      <c r="W86" s="291">
        <f t="shared" si="35"/>
        <v>0</v>
      </c>
      <c r="X86" s="291">
        <f t="shared" si="35"/>
        <v>0</v>
      </c>
      <c r="Y86" s="291">
        <f t="shared" si="35"/>
        <v>0</v>
      </c>
      <c r="Z86" s="291">
        <f t="shared" si="35"/>
        <v>0</v>
      </c>
      <c r="AA86" s="291">
        <f t="shared" si="35"/>
        <v>0</v>
      </c>
      <c r="AB86" s="291">
        <f t="shared" si="35"/>
        <v>0</v>
      </c>
      <c r="AC86" s="291">
        <f t="shared" si="35"/>
        <v>0</v>
      </c>
      <c r="AD86" s="291">
        <f t="shared" si="35"/>
        <v>0</v>
      </c>
      <c r="AE86" s="291">
        <f t="shared" si="35"/>
        <v>0</v>
      </c>
      <c r="AF86" s="291">
        <f t="shared" si="35"/>
        <v>0</v>
      </c>
      <c r="AG86" s="291">
        <f t="shared" si="35"/>
        <v>0</v>
      </c>
      <c r="AH86" s="291">
        <f t="shared" si="35"/>
        <v>0</v>
      </c>
      <c r="AI86" s="291">
        <f t="shared" si="35"/>
        <v>0</v>
      </c>
      <c r="AJ86" s="291">
        <f t="shared" si="35"/>
        <v>0</v>
      </c>
      <c r="AK86" s="291">
        <f t="shared" si="35"/>
        <v>0</v>
      </c>
      <c r="AL86" s="291">
        <f t="shared" si="35"/>
        <v>0</v>
      </c>
      <c r="AM86" s="291">
        <f t="shared" si="35"/>
        <v>0</v>
      </c>
      <c r="AN86" s="291">
        <f t="shared" si="35"/>
        <v>0</v>
      </c>
      <c r="AO86" s="291">
        <f t="shared" si="35"/>
        <v>0</v>
      </c>
      <c r="AP86" s="291">
        <f t="shared" si="35"/>
        <v>0</v>
      </c>
      <c r="AQ86" s="291">
        <f t="shared" si="35"/>
        <v>0</v>
      </c>
      <c r="AR86" s="291">
        <f t="shared" si="35"/>
        <v>0</v>
      </c>
      <c r="AS86" s="291">
        <f t="shared" si="35"/>
        <v>0</v>
      </c>
      <c r="AT86" s="291">
        <f t="shared" si="35"/>
        <v>0</v>
      </c>
      <c r="AU86" s="291">
        <f t="shared" si="35"/>
        <v>0</v>
      </c>
      <c r="AV86" s="291">
        <f t="shared" si="35"/>
        <v>0</v>
      </c>
      <c r="AW86" s="291">
        <f t="shared" si="35"/>
        <v>0</v>
      </c>
      <c r="AX86" s="291">
        <f t="shared" si="35"/>
        <v>0</v>
      </c>
      <c r="AY86" s="291">
        <f t="shared" si="35"/>
        <v>0</v>
      </c>
      <c r="AZ86" s="291">
        <f t="shared" si="35"/>
        <v>0</v>
      </c>
      <c r="BA86" s="291">
        <f t="shared" si="35"/>
        <v>0</v>
      </c>
      <c r="BB86" s="291">
        <f t="shared" si="35"/>
        <v>0</v>
      </c>
      <c r="BC86" s="291">
        <f t="shared" si="35"/>
        <v>0</v>
      </c>
      <c r="BD86" s="291">
        <f t="shared" si="35"/>
        <v>0</v>
      </c>
      <c r="BE86" s="291">
        <f t="shared" si="35"/>
        <v>0</v>
      </c>
      <c r="BF86" s="291">
        <f t="shared" si="35"/>
        <v>0</v>
      </c>
      <c r="BG86" s="291">
        <f t="shared" si="35"/>
        <v>0</v>
      </c>
      <c r="BH86" s="291">
        <f t="shared" si="35"/>
        <v>0</v>
      </c>
      <c r="BI86" s="291">
        <f t="shared" si="35"/>
        <v>0</v>
      </c>
      <c r="BJ86" s="291">
        <f t="shared" si="35"/>
        <v>0</v>
      </c>
      <c r="BK86" s="291">
        <f t="shared" si="35"/>
        <v>0</v>
      </c>
      <c r="BL86" s="291">
        <f t="shared" si="35"/>
        <v>0</v>
      </c>
      <c r="BM86" s="291">
        <f t="shared" si="35"/>
        <v>0</v>
      </c>
      <c r="BN86" s="291">
        <f t="shared" si="35"/>
        <v>0</v>
      </c>
      <c r="BO86" s="291">
        <f t="shared" si="35"/>
        <v>0</v>
      </c>
      <c r="BP86" s="291">
        <f t="shared" si="35"/>
        <v>0</v>
      </c>
      <c r="BQ86" s="291">
        <f t="shared" si="35"/>
        <v>0</v>
      </c>
      <c r="BR86" s="291">
        <f t="shared" si="35"/>
        <v>0</v>
      </c>
      <c r="BS86" s="291">
        <f t="shared" si="35"/>
        <v>0</v>
      </c>
      <c r="BT86" s="291">
        <f t="shared" si="35"/>
        <v>0</v>
      </c>
      <c r="BU86" s="291">
        <f t="shared" si="35"/>
        <v>0</v>
      </c>
      <c r="BV86" s="291">
        <f t="shared" si="35"/>
        <v>0</v>
      </c>
      <c r="BW86" s="291">
        <f t="shared" si="35"/>
        <v>0</v>
      </c>
      <c r="BX86" s="291">
        <f t="shared" si="35"/>
        <v>0</v>
      </c>
      <c r="BY86" s="292">
        <f t="shared" si="35"/>
        <v>0</v>
      </c>
      <c r="BZ86" s="599"/>
      <c r="CA86" s="268"/>
      <c r="CB86" s="293" t="e">
        <f t="array" aca="1" ref="CB86" ca="1">SUM(INDEX(E86:BX86, , 1):INDEX(E86:BX86, ,MATCH($CB$4, $E$3:$BX$3,0) ))</f>
        <v>#N/A</v>
      </c>
      <c r="CC86" s="599"/>
      <c r="CD86" s="268"/>
      <c r="CE86" s="268"/>
      <c r="CF86" s="268"/>
      <c r="CG86" s="268"/>
      <c r="CH86" s="268"/>
      <c r="CI86" s="268"/>
      <c r="CJ86" s="268"/>
      <c r="CK86" s="268"/>
      <c r="CL86" s="268"/>
      <c r="CM86" s="268"/>
      <c r="CN86" s="268"/>
      <c r="CO86" s="268"/>
      <c r="CP86" s="268"/>
      <c r="CQ86" s="268"/>
      <c r="CR86" s="268"/>
      <c r="CS86" s="268"/>
      <c r="CT86" s="268"/>
      <c r="CU86" s="268"/>
      <c r="CV86" s="268"/>
      <c r="CW86" s="268"/>
      <c r="CX86" s="268"/>
      <c r="CY86" s="268"/>
      <c r="CZ86" s="268"/>
      <c r="DA86" s="268"/>
      <c r="DB86" s="268"/>
      <c r="DC86" s="268"/>
      <c r="DD86" s="268"/>
      <c r="DE86" s="268"/>
      <c r="DF86" s="268"/>
      <c r="DG86" s="268"/>
      <c r="DH86" s="268"/>
      <c r="DI86" s="268"/>
      <c r="DJ86" s="268"/>
      <c r="DK86" s="268"/>
      <c r="DL86" s="268"/>
      <c r="DM86" s="268"/>
      <c r="DN86" s="268"/>
      <c r="DO86" s="268"/>
      <c r="DP86" s="268"/>
      <c r="DQ86" s="268"/>
      <c r="DR86" s="268"/>
      <c r="DS86" s="268"/>
      <c r="DT86" s="268"/>
      <c r="DU86" s="268"/>
      <c r="DV86" s="268"/>
      <c r="DW86" s="268"/>
      <c r="DX86" s="268"/>
      <c r="DY86" s="268"/>
      <c r="DZ86" s="268"/>
      <c r="EA86" s="268"/>
      <c r="EB86" s="268"/>
      <c r="EC86" s="268"/>
      <c r="ED86" s="268"/>
      <c r="EE86" s="268"/>
      <c r="EF86" s="268"/>
      <c r="EG86" s="268"/>
      <c r="EH86" s="268"/>
    </row>
    <row r="87" spans="1:138" ht="15.95" outlineLevel="1">
      <c r="A87" s="474"/>
      <c r="B87" s="609"/>
      <c r="C87" s="317" t="s">
        <v>314</v>
      </c>
      <c r="D87" s="295" t="s">
        <v>245</v>
      </c>
      <c r="E87" s="324"/>
      <c r="F87" s="324"/>
      <c r="G87" s="324"/>
      <c r="H87" s="324"/>
      <c r="I87" s="324"/>
      <c r="J87" s="324"/>
      <c r="K87" s="324"/>
      <c r="L87" s="324"/>
      <c r="M87" s="324"/>
      <c r="N87" s="324"/>
      <c r="O87" s="324"/>
      <c r="P87" s="324"/>
      <c r="Q87" s="324"/>
      <c r="R87" s="324"/>
      <c r="S87" s="324"/>
      <c r="T87" s="324"/>
      <c r="U87" s="324"/>
      <c r="V87" s="324"/>
      <c r="W87" s="324"/>
      <c r="X87" s="324"/>
      <c r="Y87" s="324"/>
      <c r="Z87" s="324"/>
      <c r="AA87" s="324"/>
      <c r="AB87" s="324"/>
      <c r="AC87" s="324"/>
      <c r="AD87" s="324"/>
      <c r="AE87" s="324"/>
      <c r="AF87" s="324"/>
      <c r="AG87" s="324"/>
      <c r="AH87" s="324"/>
      <c r="AI87" s="324"/>
      <c r="AJ87" s="324"/>
      <c r="AK87" s="324"/>
      <c r="AL87" s="324"/>
      <c r="AM87" s="324"/>
      <c r="AN87" s="324"/>
      <c r="AO87" s="324"/>
      <c r="AP87" s="324"/>
      <c r="AQ87" s="324"/>
      <c r="AR87" s="324"/>
      <c r="AS87" s="324"/>
      <c r="AT87" s="324"/>
      <c r="AU87" s="324"/>
      <c r="AV87" s="324"/>
      <c r="AW87" s="324"/>
      <c r="AX87" s="324"/>
      <c r="AY87" s="324"/>
      <c r="AZ87" s="324"/>
      <c r="BA87" s="324"/>
      <c r="BB87" s="324"/>
      <c r="BC87" s="324"/>
      <c r="BD87" s="324"/>
      <c r="BE87" s="324"/>
      <c r="BF87" s="324"/>
      <c r="BG87" s="324"/>
      <c r="BH87" s="324"/>
      <c r="BI87" s="324"/>
      <c r="BJ87" s="324"/>
      <c r="BK87" s="324"/>
      <c r="BL87" s="324"/>
      <c r="BM87" s="324"/>
      <c r="BN87" s="324"/>
      <c r="BO87" s="324"/>
      <c r="BP87" s="324"/>
      <c r="BQ87" s="324"/>
      <c r="BR87" s="324"/>
      <c r="BS87" s="324"/>
      <c r="BT87" s="324"/>
      <c r="BU87" s="324"/>
      <c r="BV87" s="324"/>
      <c r="BW87" s="324"/>
      <c r="BX87" s="324"/>
      <c r="BY87" s="325">
        <f t="shared" ref="BY87:BY88" si="36">SUM(E87:BX87)</f>
        <v>0</v>
      </c>
      <c r="BZ87" s="599"/>
      <c r="CA87" s="268"/>
      <c r="CB87" s="293" t="e">
        <f t="shared" ref="CB87:CB88" ca="1" si="37">SUM(INDEX(AC87:BX87, , 1):INDEX(AC87:BX87, ,MATCH($CB$4, $E$3:$BX$3,0) ))</f>
        <v>#N/A</v>
      </c>
      <c r="CC87" s="599"/>
      <c r="CD87" s="268"/>
      <c r="CE87" s="268"/>
      <c r="CF87" s="268"/>
      <c r="CG87" s="268"/>
      <c r="CH87" s="268"/>
      <c r="CI87" s="268"/>
      <c r="CJ87" s="268"/>
      <c r="CK87" s="268"/>
      <c r="CL87" s="268"/>
      <c r="CM87" s="268"/>
      <c r="CN87" s="268"/>
      <c r="CO87" s="268"/>
      <c r="CP87" s="268"/>
      <c r="CQ87" s="268"/>
      <c r="CR87" s="268"/>
      <c r="CS87" s="268"/>
      <c r="CT87" s="268"/>
      <c r="CU87" s="268"/>
      <c r="CV87" s="268"/>
      <c r="CW87" s="268"/>
      <c r="CX87" s="268"/>
      <c r="CY87" s="268"/>
      <c r="CZ87" s="268"/>
      <c r="DA87" s="268"/>
      <c r="DB87" s="268"/>
      <c r="DC87" s="268"/>
      <c r="DD87" s="268"/>
      <c r="DE87" s="268"/>
      <c r="DF87" s="268"/>
      <c r="DG87" s="268"/>
      <c r="DH87" s="268"/>
      <c r="DI87" s="268"/>
      <c r="DJ87" s="268"/>
      <c r="DK87" s="268"/>
      <c r="DL87" s="268"/>
      <c r="DM87" s="268"/>
      <c r="DN87" s="268"/>
      <c r="DO87" s="268"/>
      <c r="DP87" s="268"/>
      <c r="DQ87" s="268"/>
      <c r="DR87" s="268"/>
      <c r="DS87" s="268"/>
      <c r="DT87" s="268"/>
      <c r="DU87" s="268"/>
      <c r="DV87" s="268"/>
      <c r="DW87" s="268"/>
      <c r="DX87" s="268"/>
      <c r="DY87" s="268"/>
      <c r="DZ87" s="268"/>
      <c r="EA87" s="268"/>
      <c r="EB87" s="268"/>
      <c r="EC87" s="268"/>
      <c r="ED87" s="268"/>
      <c r="EE87" s="268"/>
      <c r="EF87" s="268"/>
      <c r="EG87" s="268"/>
      <c r="EH87" s="268"/>
    </row>
    <row r="88" spans="1:138" ht="15.95" outlineLevel="1">
      <c r="A88" s="474"/>
      <c r="B88" s="609"/>
      <c r="C88" s="322" t="s">
        <v>315</v>
      </c>
      <c r="D88" s="298" t="s">
        <v>245</v>
      </c>
      <c r="E88" s="326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/>
      <c r="AW88" s="315"/>
      <c r="AX88" s="315"/>
      <c r="AY88" s="315"/>
      <c r="AZ88" s="315"/>
      <c r="BA88" s="315"/>
      <c r="BB88" s="315"/>
      <c r="BC88" s="315"/>
      <c r="BD88" s="315"/>
      <c r="BE88" s="315"/>
      <c r="BF88" s="315"/>
      <c r="BG88" s="315"/>
      <c r="BH88" s="315"/>
      <c r="BI88" s="315"/>
      <c r="BJ88" s="315"/>
      <c r="BK88" s="315"/>
      <c r="BL88" s="315"/>
      <c r="BM88" s="315"/>
      <c r="BN88" s="315"/>
      <c r="BO88" s="315"/>
      <c r="BP88" s="315"/>
      <c r="BQ88" s="315"/>
      <c r="BR88" s="315"/>
      <c r="BS88" s="315"/>
      <c r="BT88" s="315"/>
      <c r="BU88" s="315"/>
      <c r="BV88" s="315"/>
      <c r="BW88" s="315"/>
      <c r="BX88" s="315"/>
      <c r="BY88" s="327">
        <f t="shared" si="36"/>
        <v>0</v>
      </c>
      <c r="BZ88" s="598"/>
      <c r="CA88" s="268"/>
      <c r="CB88" s="293" t="e">
        <f t="shared" ca="1" si="37"/>
        <v>#N/A</v>
      </c>
      <c r="CC88" s="598"/>
      <c r="CD88" s="268"/>
      <c r="CE88" s="268"/>
      <c r="CF88" s="268"/>
      <c r="CG88" s="268"/>
      <c r="CH88" s="268"/>
      <c r="CI88" s="268"/>
      <c r="CJ88" s="268"/>
      <c r="CK88" s="268"/>
      <c r="CL88" s="268"/>
      <c r="CM88" s="268"/>
      <c r="CN88" s="268"/>
      <c r="CO88" s="268"/>
      <c r="CP88" s="268"/>
      <c r="CQ88" s="268"/>
      <c r="CR88" s="268"/>
      <c r="CS88" s="268"/>
      <c r="CT88" s="268"/>
      <c r="CU88" s="268"/>
      <c r="CV88" s="268"/>
      <c r="CW88" s="268"/>
      <c r="CX88" s="268"/>
      <c r="CY88" s="268"/>
      <c r="CZ88" s="268"/>
      <c r="DA88" s="268"/>
      <c r="DB88" s="268"/>
      <c r="DC88" s="268"/>
      <c r="DD88" s="268"/>
      <c r="DE88" s="268"/>
      <c r="DF88" s="268"/>
      <c r="DG88" s="268"/>
      <c r="DH88" s="268"/>
      <c r="DI88" s="268"/>
      <c r="DJ88" s="268"/>
      <c r="DK88" s="268"/>
      <c r="DL88" s="268"/>
      <c r="DM88" s="268"/>
      <c r="DN88" s="268"/>
      <c r="DO88" s="268"/>
      <c r="DP88" s="268"/>
      <c r="DQ88" s="268"/>
      <c r="DR88" s="268"/>
      <c r="DS88" s="268"/>
      <c r="DT88" s="268"/>
      <c r="DU88" s="268"/>
      <c r="DV88" s="268"/>
      <c r="DW88" s="268"/>
      <c r="DX88" s="268"/>
      <c r="DY88" s="268"/>
      <c r="DZ88" s="268"/>
      <c r="EA88" s="268"/>
      <c r="EB88" s="268"/>
      <c r="EC88" s="268"/>
      <c r="ED88" s="268"/>
      <c r="EE88" s="268"/>
      <c r="EF88" s="268"/>
      <c r="EG88" s="268"/>
      <c r="EH88" s="268"/>
    </row>
    <row r="89" spans="1:138">
      <c r="A89" s="474"/>
      <c r="B89" s="609"/>
      <c r="C89" s="289" t="s">
        <v>316</v>
      </c>
      <c r="D89" s="290"/>
      <c r="E89" s="291">
        <f t="shared" ref="E89:BX89" si="38">SUM(E90:E96)</f>
        <v>0</v>
      </c>
      <c r="F89" s="291">
        <f t="shared" si="38"/>
        <v>0</v>
      </c>
      <c r="G89" s="291">
        <f t="shared" si="38"/>
        <v>0</v>
      </c>
      <c r="H89" s="291">
        <f t="shared" si="38"/>
        <v>0</v>
      </c>
      <c r="I89" s="291">
        <f t="shared" si="38"/>
        <v>0</v>
      </c>
      <c r="J89" s="291">
        <f t="shared" si="38"/>
        <v>0</v>
      </c>
      <c r="K89" s="291">
        <f t="shared" si="38"/>
        <v>0</v>
      </c>
      <c r="L89" s="291">
        <f t="shared" si="38"/>
        <v>0</v>
      </c>
      <c r="M89" s="291">
        <f t="shared" si="38"/>
        <v>0</v>
      </c>
      <c r="N89" s="291">
        <f t="shared" si="38"/>
        <v>0</v>
      </c>
      <c r="O89" s="291">
        <f t="shared" si="38"/>
        <v>0</v>
      </c>
      <c r="P89" s="291">
        <f t="shared" si="38"/>
        <v>0</v>
      </c>
      <c r="Q89" s="291">
        <f t="shared" si="38"/>
        <v>0</v>
      </c>
      <c r="R89" s="291">
        <f t="shared" si="38"/>
        <v>0</v>
      </c>
      <c r="S89" s="291">
        <f t="shared" si="38"/>
        <v>0</v>
      </c>
      <c r="T89" s="291">
        <f t="shared" si="38"/>
        <v>0</v>
      </c>
      <c r="U89" s="291">
        <f t="shared" si="38"/>
        <v>0</v>
      </c>
      <c r="V89" s="291">
        <f t="shared" si="38"/>
        <v>0</v>
      </c>
      <c r="W89" s="291">
        <f t="shared" si="38"/>
        <v>0</v>
      </c>
      <c r="X89" s="291">
        <f t="shared" si="38"/>
        <v>0</v>
      </c>
      <c r="Y89" s="291">
        <f t="shared" si="38"/>
        <v>0</v>
      </c>
      <c r="Z89" s="291">
        <f t="shared" si="38"/>
        <v>0</v>
      </c>
      <c r="AA89" s="291">
        <f t="shared" si="38"/>
        <v>0</v>
      </c>
      <c r="AB89" s="291">
        <f t="shared" si="38"/>
        <v>0</v>
      </c>
      <c r="AC89" s="291">
        <f t="shared" si="38"/>
        <v>-133900000</v>
      </c>
      <c r="AD89" s="291">
        <f t="shared" si="38"/>
        <v>0</v>
      </c>
      <c r="AE89" s="291">
        <f t="shared" si="38"/>
        <v>0</v>
      </c>
      <c r="AF89" s="291">
        <f t="shared" si="38"/>
        <v>0</v>
      </c>
      <c r="AG89" s="291">
        <f t="shared" si="38"/>
        <v>0</v>
      </c>
      <c r="AH89" s="291">
        <f t="shared" si="38"/>
        <v>0</v>
      </c>
      <c r="AI89" s="291">
        <f t="shared" si="38"/>
        <v>0</v>
      </c>
      <c r="AJ89" s="291">
        <f t="shared" si="38"/>
        <v>0</v>
      </c>
      <c r="AK89" s="291">
        <f t="shared" si="38"/>
        <v>0</v>
      </c>
      <c r="AL89" s="291">
        <f t="shared" si="38"/>
        <v>0</v>
      </c>
      <c r="AM89" s="291">
        <f t="shared" si="38"/>
        <v>0</v>
      </c>
      <c r="AN89" s="291">
        <f t="shared" si="38"/>
        <v>0</v>
      </c>
      <c r="AO89" s="291">
        <f t="shared" si="38"/>
        <v>0</v>
      </c>
      <c r="AP89" s="291">
        <f t="shared" si="38"/>
        <v>0</v>
      </c>
      <c r="AQ89" s="291">
        <f t="shared" si="38"/>
        <v>0</v>
      </c>
      <c r="AR89" s="291">
        <f t="shared" si="38"/>
        <v>0</v>
      </c>
      <c r="AS89" s="291">
        <f t="shared" si="38"/>
        <v>0</v>
      </c>
      <c r="AT89" s="291">
        <f t="shared" si="38"/>
        <v>0</v>
      </c>
      <c r="AU89" s="291">
        <f t="shared" si="38"/>
        <v>0</v>
      </c>
      <c r="AV89" s="291">
        <f t="shared" si="38"/>
        <v>0</v>
      </c>
      <c r="AW89" s="291">
        <f t="shared" si="38"/>
        <v>0</v>
      </c>
      <c r="AX89" s="291">
        <f t="shared" si="38"/>
        <v>0</v>
      </c>
      <c r="AY89" s="291">
        <f t="shared" si="38"/>
        <v>0</v>
      </c>
      <c r="AZ89" s="291">
        <f t="shared" si="38"/>
        <v>0</v>
      </c>
      <c r="BA89" s="291">
        <f t="shared" si="38"/>
        <v>0</v>
      </c>
      <c r="BB89" s="291">
        <f t="shared" si="38"/>
        <v>0</v>
      </c>
      <c r="BC89" s="291">
        <f t="shared" si="38"/>
        <v>0</v>
      </c>
      <c r="BD89" s="291">
        <f t="shared" si="38"/>
        <v>0</v>
      </c>
      <c r="BE89" s="291">
        <f t="shared" si="38"/>
        <v>0</v>
      </c>
      <c r="BF89" s="291">
        <f t="shared" si="38"/>
        <v>0</v>
      </c>
      <c r="BG89" s="291">
        <f t="shared" si="38"/>
        <v>0</v>
      </c>
      <c r="BH89" s="291">
        <f t="shared" si="38"/>
        <v>0</v>
      </c>
      <c r="BI89" s="291">
        <f t="shared" si="38"/>
        <v>0</v>
      </c>
      <c r="BJ89" s="291">
        <f t="shared" si="38"/>
        <v>0</v>
      </c>
      <c r="BK89" s="291">
        <f t="shared" si="38"/>
        <v>0</v>
      </c>
      <c r="BL89" s="291">
        <f t="shared" si="38"/>
        <v>0</v>
      </c>
      <c r="BM89" s="291">
        <f t="shared" si="38"/>
        <v>0</v>
      </c>
      <c r="BN89" s="291">
        <f t="shared" si="38"/>
        <v>0</v>
      </c>
      <c r="BO89" s="291">
        <f t="shared" si="38"/>
        <v>0</v>
      </c>
      <c r="BP89" s="291">
        <f t="shared" si="38"/>
        <v>0</v>
      </c>
      <c r="BQ89" s="291">
        <f t="shared" si="38"/>
        <v>0</v>
      </c>
      <c r="BR89" s="291">
        <f t="shared" si="38"/>
        <v>0</v>
      </c>
      <c r="BS89" s="291">
        <f t="shared" si="38"/>
        <v>0</v>
      </c>
      <c r="BT89" s="291">
        <f t="shared" si="38"/>
        <v>0</v>
      </c>
      <c r="BU89" s="291">
        <f t="shared" si="38"/>
        <v>0</v>
      </c>
      <c r="BV89" s="291">
        <f t="shared" si="38"/>
        <v>0</v>
      </c>
      <c r="BW89" s="291">
        <f t="shared" si="38"/>
        <v>0</v>
      </c>
      <c r="BX89" s="291">
        <f t="shared" si="38"/>
        <v>0</v>
      </c>
      <c r="BY89" s="586" t="e">
        <f>SUM(BZ18:BZ61)</f>
        <v>#REF!</v>
      </c>
      <c r="BZ89" s="608"/>
      <c r="CA89" s="268"/>
      <c r="CB89" s="268"/>
      <c r="CC89" s="268"/>
      <c r="CD89" s="268"/>
      <c r="CE89" s="268"/>
      <c r="CF89" s="268"/>
      <c r="CG89" s="268"/>
      <c r="CH89" s="268"/>
      <c r="CI89" s="268"/>
      <c r="CJ89" s="268"/>
      <c r="CK89" s="268"/>
      <c r="CL89" s="268"/>
      <c r="CM89" s="268"/>
      <c r="CN89" s="268"/>
      <c r="CO89" s="268"/>
      <c r="CP89" s="268"/>
      <c r="CQ89" s="268"/>
      <c r="CR89" s="268"/>
      <c r="CS89" s="268"/>
      <c r="CT89" s="268"/>
      <c r="CU89" s="268"/>
      <c r="CV89" s="268"/>
      <c r="CW89" s="268"/>
      <c r="CX89" s="268"/>
      <c r="CY89" s="268"/>
      <c r="CZ89" s="268"/>
      <c r="DA89" s="268"/>
      <c r="DB89" s="268"/>
      <c r="DC89" s="268"/>
      <c r="DD89" s="268"/>
      <c r="DE89" s="268"/>
      <c r="DF89" s="268"/>
      <c r="DG89" s="268"/>
      <c r="DH89" s="268"/>
      <c r="DI89" s="268"/>
      <c r="DJ89" s="268"/>
      <c r="DK89" s="268"/>
      <c r="DL89" s="268"/>
      <c r="DM89" s="268"/>
      <c r="DN89" s="268"/>
      <c r="DO89" s="268"/>
      <c r="DP89" s="268"/>
      <c r="DQ89" s="268"/>
      <c r="DR89" s="268"/>
      <c r="DS89" s="268"/>
      <c r="DT89" s="268"/>
      <c r="DU89" s="268"/>
      <c r="DV89" s="268"/>
      <c r="DW89" s="268"/>
      <c r="DX89" s="268"/>
      <c r="DY89" s="268"/>
      <c r="DZ89" s="268"/>
      <c r="EA89" s="268"/>
      <c r="EB89" s="268"/>
      <c r="EC89" s="268"/>
      <c r="ED89" s="268"/>
      <c r="EE89" s="268"/>
      <c r="EF89" s="268"/>
      <c r="EG89" s="268"/>
      <c r="EH89" s="268"/>
    </row>
    <row r="90" spans="1:138" outlineLevel="1">
      <c r="A90" s="474"/>
      <c r="B90" s="609"/>
      <c r="C90" s="294" t="s">
        <v>317</v>
      </c>
      <c r="D90" s="295" t="s">
        <v>245</v>
      </c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>
        <f t="shared" ref="AC90:AC91" si="39">-BY5</f>
        <v>0</v>
      </c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318"/>
      <c r="BD90" s="296"/>
      <c r="BE90" s="296"/>
      <c r="BF90" s="296"/>
      <c r="BG90" s="296"/>
      <c r="BH90" s="296"/>
      <c r="BI90" s="296"/>
      <c r="BJ90" s="296"/>
      <c r="BK90" s="296"/>
      <c r="BL90" s="296"/>
      <c r="BM90" s="296"/>
      <c r="BN90" s="296"/>
      <c r="BO90" s="296"/>
      <c r="BP90" s="296"/>
      <c r="BQ90" s="296"/>
      <c r="BR90" s="296"/>
      <c r="BS90" s="296"/>
      <c r="BT90" s="296"/>
      <c r="BU90" s="296"/>
      <c r="BV90" s="296"/>
      <c r="BW90" s="296"/>
      <c r="BX90" s="301"/>
      <c r="BY90" s="325">
        <f t="shared" ref="BY90:BY96" si="40">SUM(E90:BX90)</f>
        <v>0</v>
      </c>
      <c r="BZ90" s="587">
        <f>SUM(BY90:BY96)</f>
        <v>-133900000</v>
      </c>
      <c r="CA90" s="268"/>
      <c r="CB90" s="268"/>
      <c r="CC90" s="268"/>
      <c r="CD90" s="268"/>
      <c r="CE90" s="268"/>
      <c r="CF90" s="268"/>
      <c r="CG90" s="268"/>
      <c r="CH90" s="268"/>
      <c r="CI90" s="268"/>
      <c r="CJ90" s="268"/>
      <c r="CK90" s="268"/>
      <c r="CL90" s="268"/>
      <c r="CM90" s="268"/>
      <c r="CN90" s="268"/>
      <c r="CO90" s="268"/>
      <c r="CP90" s="268"/>
      <c r="CQ90" s="268"/>
      <c r="CR90" s="268"/>
      <c r="CS90" s="268"/>
      <c r="CT90" s="268"/>
      <c r="CU90" s="268"/>
      <c r="CV90" s="268"/>
      <c r="CW90" s="268"/>
      <c r="CX90" s="268"/>
      <c r="CY90" s="268"/>
      <c r="CZ90" s="268"/>
      <c r="DA90" s="268"/>
      <c r="DB90" s="268"/>
      <c r="DC90" s="268"/>
      <c r="DD90" s="268"/>
      <c r="DE90" s="268"/>
      <c r="DF90" s="268"/>
      <c r="DG90" s="268"/>
      <c r="DH90" s="268"/>
      <c r="DI90" s="268"/>
      <c r="DJ90" s="268"/>
      <c r="DK90" s="268"/>
      <c r="DL90" s="268"/>
      <c r="DM90" s="268"/>
      <c r="DN90" s="268"/>
      <c r="DO90" s="268"/>
      <c r="DP90" s="268"/>
      <c r="DQ90" s="268"/>
      <c r="DR90" s="268"/>
      <c r="DS90" s="268"/>
      <c r="DT90" s="268"/>
      <c r="DU90" s="268"/>
      <c r="DV90" s="268"/>
      <c r="DW90" s="268"/>
      <c r="DX90" s="268"/>
      <c r="DY90" s="268"/>
      <c r="DZ90" s="268"/>
      <c r="EA90" s="268"/>
      <c r="EB90" s="268"/>
      <c r="EC90" s="268"/>
      <c r="ED90" s="268"/>
      <c r="EE90" s="268"/>
      <c r="EF90" s="268"/>
      <c r="EG90" s="268"/>
      <c r="EH90" s="268"/>
    </row>
    <row r="91" spans="1:138" outlineLevel="1">
      <c r="A91" s="474"/>
      <c r="B91" s="609"/>
      <c r="C91" s="294" t="s">
        <v>318</v>
      </c>
      <c r="D91" s="295" t="s">
        <v>245</v>
      </c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>
        <f t="shared" si="39"/>
        <v>-19900000</v>
      </c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  <c r="BJ91" s="296"/>
      <c r="BK91" s="296"/>
      <c r="BL91" s="296"/>
      <c r="BM91" s="296"/>
      <c r="BN91" s="296"/>
      <c r="BO91" s="296"/>
      <c r="BP91" s="296"/>
      <c r="BQ91" s="296"/>
      <c r="BR91" s="296"/>
      <c r="BS91" s="296"/>
      <c r="BT91" s="296"/>
      <c r="BU91" s="296"/>
      <c r="BV91" s="296"/>
      <c r="BW91" s="296"/>
      <c r="BX91" s="301"/>
      <c r="BY91" s="319">
        <f t="shared" si="40"/>
        <v>-19900000</v>
      </c>
      <c r="BZ91" s="599"/>
      <c r="CA91" s="268"/>
      <c r="CB91" s="268"/>
      <c r="CC91" s="268"/>
      <c r="CD91" s="268"/>
      <c r="CE91" s="268"/>
      <c r="CF91" s="268"/>
      <c r="CG91" s="268"/>
      <c r="CH91" s="268"/>
      <c r="CI91" s="268"/>
      <c r="CJ91" s="268"/>
      <c r="CK91" s="268"/>
      <c r="CL91" s="268"/>
      <c r="CM91" s="268"/>
      <c r="CN91" s="268"/>
      <c r="CO91" s="268"/>
      <c r="CP91" s="268"/>
      <c r="CQ91" s="268"/>
      <c r="CR91" s="268"/>
      <c r="CS91" s="268"/>
      <c r="CT91" s="268"/>
      <c r="CU91" s="268"/>
      <c r="CV91" s="268"/>
      <c r="CW91" s="268"/>
      <c r="CX91" s="268"/>
      <c r="CY91" s="268"/>
      <c r="CZ91" s="268"/>
      <c r="DA91" s="268"/>
      <c r="DB91" s="268"/>
      <c r="DC91" s="268"/>
      <c r="DD91" s="268"/>
      <c r="DE91" s="268"/>
      <c r="DF91" s="268"/>
      <c r="DG91" s="268"/>
      <c r="DH91" s="268"/>
      <c r="DI91" s="268"/>
      <c r="DJ91" s="268"/>
      <c r="DK91" s="268"/>
      <c r="DL91" s="268"/>
      <c r="DM91" s="268"/>
      <c r="DN91" s="268"/>
      <c r="DO91" s="268"/>
      <c r="DP91" s="268"/>
      <c r="DQ91" s="268"/>
      <c r="DR91" s="268"/>
      <c r="DS91" s="268"/>
      <c r="DT91" s="268"/>
      <c r="DU91" s="268"/>
      <c r="DV91" s="268"/>
      <c r="DW91" s="268"/>
      <c r="DX91" s="268"/>
      <c r="DY91" s="268"/>
      <c r="DZ91" s="268"/>
      <c r="EA91" s="268"/>
      <c r="EB91" s="268"/>
      <c r="EC91" s="268"/>
      <c r="ED91" s="268"/>
      <c r="EE91" s="268"/>
      <c r="EF91" s="268"/>
      <c r="EG91" s="268"/>
      <c r="EH91" s="268"/>
    </row>
    <row r="92" spans="1:138" outlineLevel="1">
      <c r="A92" s="474"/>
      <c r="B92" s="609"/>
      <c r="C92" s="294" t="s">
        <v>319</v>
      </c>
      <c r="D92" s="295" t="s">
        <v>245</v>
      </c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  <c r="BJ92" s="296"/>
      <c r="BK92" s="296"/>
      <c r="BL92" s="296"/>
      <c r="BM92" s="296"/>
      <c r="BN92" s="296"/>
      <c r="BO92" s="296"/>
      <c r="BP92" s="296"/>
      <c r="BQ92" s="296"/>
      <c r="BR92" s="296"/>
      <c r="BS92" s="296"/>
      <c r="BT92" s="296"/>
      <c r="BU92" s="296"/>
      <c r="BV92" s="296"/>
      <c r="BW92" s="296"/>
      <c r="BX92" s="301"/>
      <c r="BY92" s="319">
        <f t="shared" si="40"/>
        <v>0</v>
      </c>
      <c r="BZ92" s="599"/>
      <c r="CA92" s="268"/>
      <c r="CB92" s="268"/>
      <c r="CC92" s="268"/>
      <c r="CD92" s="268"/>
      <c r="CE92" s="268"/>
      <c r="CF92" s="268"/>
      <c r="CG92" s="268"/>
      <c r="CH92" s="268"/>
      <c r="CI92" s="268"/>
      <c r="CJ92" s="268"/>
      <c r="CK92" s="268"/>
      <c r="CL92" s="268"/>
      <c r="CM92" s="268"/>
      <c r="CN92" s="268"/>
      <c r="CO92" s="268"/>
      <c r="CP92" s="268"/>
      <c r="CQ92" s="268"/>
      <c r="CR92" s="268"/>
      <c r="CS92" s="268"/>
      <c r="CT92" s="268"/>
      <c r="CU92" s="268"/>
      <c r="CV92" s="268"/>
      <c r="CW92" s="268"/>
      <c r="CX92" s="268"/>
      <c r="CY92" s="268"/>
      <c r="CZ92" s="268"/>
      <c r="DA92" s="268"/>
      <c r="DB92" s="268"/>
      <c r="DC92" s="268"/>
      <c r="DD92" s="268"/>
      <c r="DE92" s="268"/>
      <c r="DF92" s="268"/>
      <c r="DG92" s="268"/>
      <c r="DH92" s="268"/>
      <c r="DI92" s="268"/>
      <c r="DJ92" s="268"/>
      <c r="DK92" s="268"/>
      <c r="DL92" s="268"/>
      <c r="DM92" s="268"/>
      <c r="DN92" s="268"/>
      <c r="DO92" s="268"/>
      <c r="DP92" s="268"/>
      <c r="DQ92" s="268"/>
      <c r="DR92" s="268"/>
      <c r="DS92" s="268"/>
      <c r="DT92" s="268"/>
      <c r="DU92" s="268"/>
      <c r="DV92" s="268"/>
      <c r="DW92" s="268"/>
      <c r="DX92" s="268"/>
      <c r="DY92" s="268"/>
      <c r="DZ92" s="268"/>
      <c r="EA92" s="268"/>
      <c r="EB92" s="268"/>
      <c r="EC92" s="268"/>
      <c r="ED92" s="268"/>
      <c r="EE92" s="268"/>
      <c r="EF92" s="268"/>
      <c r="EG92" s="268"/>
      <c r="EH92" s="268"/>
    </row>
    <row r="93" spans="1:138" outlineLevel="1">
      <c r="A93" s="474"/>
      <c r="B93" s="609"/>
      <c r="C93" s="294" t="s">
        <v>320</v>
      </c>
      <c r="D93" s="295" t="s">
        <v>245</v>
      </c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  <c r="BJ93" s="296"/>
      <c r="BK93" s="296"/>
      <c r="BL93" s="296"/>
      <c r="BM93" s="296"/>
      <c r="BN93" s="296"/>
      <c r="BO93" s="296"/>
      <c r="BP93" s="296"/>
      <c r="BQ93" s="296"/>
      <c r="BR93" s="296"/>
      <c r="BS93" s="296"/>
      <c r="BT93" s="296"/>
      <c r="BU93" s="296"/>
      <c r="BV93" s="296"/>
      <c r="BW93" s="296"/>
      <c r="BX93" s="301"/>
      <c r="BY93" s="319">
        <f t="shared" si="40"/>
        <v>0</v>
      </c>
      <c r="BZ93" s="599"/>
      <c r="CA93" s="268"/>
      <c r="CB93" s="268"/>
      <c r="CC93" s="268"/>
      <c r="CD93" s="268"/>
      <c r="CE93" s="268"/>
      <c r="CF93" s="268"/>
      <c r="CG93" s="268"/>
      <c r="CH93" s="268"/>
      <c r="CI93" s="268"/>
      <c r="CJ93" s="268"/>
      <c r="CK93" s="268"/>
      <c r="CL93" s="268"/>
      <c r="CM93" s="268"/>
      <c r="CN93" s="268"/>
      <c r="CO93" s="268"/>
      <c r="CP93" s="268"/>
      <c r="CQ93" s="268"/>
      <c r="CR93" s="268"/>
      <c r="CS93" s="268"/>
      <c r="CT93" s="268"/>
      <c r="CU93" s="268"/>
      <c r="CV93" s="268"/>
      <c r="CW93" s="268"/>
      <c r="CX93" s="268"/>
      <c r="CY93" s="268"/>
      <c r="CZ93" s="268"/>
      <c r="DA93" s="268"/>
      <c r="DB93" s="268"/>
      <c r="DC93" s="268"/>
      <c r="DD93" s="268"/>
      <c r="DE93" s="268"/>
      <c r="DF93" s="268"/>
      <c r="DG93" s="268"/>
      <c r="DH93" s="268"/>
      <c r="DI93" s="268"/>
      <c r="DJ93" s="268"/>
      <c r="DK93" s="268"/>
      <c r="DL93" s="268"/>
      <c r="DM93" s="268"/>
      <c r="DN93" s="268"/>
      <c r="DO93" s="268"/>
      <c r="DP93" s="268"/>
      <c r="DQ93" s="268"/>
      <c r="DR93" s="268"/>
      <c r="DS93" s="268"/>
      <c r="DT93" s="268"/>
      <c r="DU93" s="268"/>
      <c r="DV93" s="268"/>
      <c r="DW93" s="268"/>
      <c r="DX93" s="268"/>
      <c r="DY93" s="268"/>
      <c r="DZ93" s="268"/>
      <c r="EA93" s="268"/>
      <c r="EB93" s="268"/>
      <c r="EC93" s="268"/>
      <c r="ED93" s="268"/>
      <c r="EE93" s="268"/>
      <c r="EF93" s="268"/>
      <c r="EG93" s="268"/>
      <c r="EH93" s="268"/>
    </row>
    <row r="94" spans="1:138" outlineLevel="1">
      <c r="A94" s="474"/>
      <c r="B94" s="609"/>
      <c r="C94" s="294" t="s">
        <v>321</v>
      </c>
      <c r="D94" s="295" t="s">
        <v>245</v>
      </c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318"/>
      <c r="BD94" s="296"/>
      <c r="BE94" s="296"/>
      <c r="BF94" s="296"/>
      <c r="BG94" s="296"/>
      <c r="BH94" s="296"/>
      <c r="BI94" s="296"/>
      <c r="BJ94" s="296"/>
      <c r="BK94" s="296"/>
      <c r="BL94" s="296"/>
      <c r="BM94" s="296"/>
      <c r="BN94" s="296"/>
      <c r="BO94" s="296"/>
      <c r="BP94" s="296"/>
      <c r="BQ94" s="296"/>
      <c r="BR94" s="296"/>
      <c r="BS94" s="296"/>
      <c r="BT94" s="296"/>
      <c r="BU94" s="296"/>
      <c r="BV94" s="296"/>
      <c r="BW94" s="296"/>
      <c r="BX94" s="301"/>
      <c r="BY94" s="319">
        <f t="shared" si="40"/>
        <v>0</v>
      </c>
      <c r="BZ94" s="599"/>
      <c r="CA94" s="268"/>
      <c r="CB94" s="268"/>
      <c r="CC94" s="268"/>
      <c r="CD94" s="268"/>
      <c r="CE94" s="268"/>
      <c r="CF94" s="268"/>
      <c r="CG94" s="268"/>
      <c r="CH94" s="268"/>
      <c r="CI94" s="268"/>
      <c r="CJ94" s="268"/>
      <c r="CK94" s="268"/>
      <c r="CL94" s="268"/>
      <c r="CM94" s="268"/>
      <c r="CN94" s="268"/>
      <c r="CO94" s="268"/>
      <c r="CP94" s="268"/>
      <c r="CQ94" s="268"/>
      <c r="CR94" s="268"/>
      <c r="CS94" s="268"/>
      <c r="CT94" s="268"/>
      <c r="CU94" s="268"/>
      <c r="CV94" s="268"/>
      <c r="CW94" s="268"/>
      <c r="CX94" s="268"/>
      <c r="CY94" s="268"/>
      <c r="CZ94" s="268"/>
      <c r="DA94" s="268"/>
      <c r="DB94" s="268"/>
      <c r="DC94" s="268"/>
      <c r="DD94" s="268"/>
      <c r="DE94" s="268"/>
      <c r="DF94" s="268"/>
      <c r="DG94" s="268"/>
      <c r="DH94" s="268"/>
      <c r="DI94" s="268"/>
      <c r="DJ94" s="268"/>
      <c r="DK94" s="268"/>
      <c r="DL94" s="268"/>
      <c r="DM94" s="268"/>
      <c r="DN94" s="268"/>
      <c r="DO94" s="268"/>
      <c r="DP94" s="268"/>
      <c r="DQ94" s="268"/>
      <c r="DR94" s="268"/>
      <c r="DS94" s="268"/>
      <c r="DT94" s="268"/>
      <c r="DU94" s="268"/>
      <c r="DV94" s="268"/>
      <c r="DW94" s="268"/>
      <c r="DX94" s="268"/>
      <c r="DY94" s="268"/>
      <c r="DZ94" s="268"/>
      <c r="EA94" s="268"/>
      <c r="EB94" s="268"/>
      <c r="EC94" s="268"/>
      <c r="ED94" s="268"/>
      <c r="EE94" s="268"/>
      <c r="EF94" s="268"/>
      <c r="EG94" s="268"/>
      <c r="EH94" s="268"/>
    </row>
    <row r="95" spans="1:138" outlineLevel="1">
      <c r="A95" s="474"/>
      <c r="B95" s="609"/>
      <c r="C95" s="294" t="s">
        <v>322</v>
      </c>
      <c r="D95" s="295" t="s">
        <v>245</v>
      </c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318"/>
      <c r="BD95" s="296"/>
      <c r="BE95" s="296"/>
      <c r="BF95" s="296"/>
      <c r="BG95" s="296"/>
      <c r="BH95" s="296"/>
      <c r="BI95" s="296"/>
      <c r="BJ95" s="296"/>
      <c r="BK95" s="296"/>
      <c r="BL95" s="296"/>
      <c r="BM95" s="296"/>
      <c r="BN95" s="296"/>
      <c r="BO95" s="296"/>
      <c r="BP95" s="296"/>
      <c r="BQ95" s="296"/>
      <c r="BR95" s="296"/>
      <c r="BS95" s="296"/>
      <c r="BT95" s="296"/>
      <c r="BU95" s="296"/>
      <c r="BV95" s="296"/>
      <c r="BW95" s="296"/>
      <c r="BX95" s="301"/>
      <c r="BY95" s="328">
        <f t="shared" si="40"/>
        <v>0</v>
      </c>
      <c r="BZ95" s="599"/>
      <c r="CA95" s="268"/>
      <c r="CB95" s="268"/>
      <c r="CC95" s="268"/>
      <c r="CD95" s="268"/>
      <c r="CE95" s="268"/>
      <c r="CF95" s="268"/>
      <c r="CG95" s="268"/>
      <c r="CH95" s="268"/>
      <c r="CI95" s="268"/>
      <c r="CJ95" s="268"/>
      <c r="CK95" s="268"/>
      <c r="CL95" s="268"/>
      <c r="CM95" s="268"/>
      <c r="CN95" s="268"/>
      <c r="CO95" s="268"/>
      <c r="CP95" s="268"/>
      <c r="CQ95" s="268"/>
      <c r="CR95" s="268"/>
      <c r="CS95" s="268"/>
      <c r="CT95" s="268"/>
      <c r="CU95" s="268"/>
      <c r="CV95" s="268"/>
      <c r="CW95" s="268"/>
      <c r="CX95" s="268"/>
      <c r="CY95" s="268"/>
      <c r="CZ95" s="268"/>
      <c r="DA95" s="268"/>
      <c r="DB95" s="268"/>
      <c r="DC95" s="268"/>
      <c r="DD95" s="268"/>
      <c r="DE95" s="268"/>
      <c r="DF95" s="268"/>
      <c r="DG95" s="268"/>
      <c r="DH95" s="268"/>
      <c r="DI95" s="268"/>
      <c r="DJ95" s="268"/>
      <c r="DK95" s="268"/>
      <c r="DL95" s="268"/>
      <c r="DM95" s="268"/>
      <c r="DN95" s="268"/>
      <c r="DO95" s="268"/>
      <c r="DP95" s="268"/>
      <c r="DQ95" s="268"/>
      <c r="DR95" s="268"/>
      <c r="DS95" s="268"/>
      <c r="DT95" s="268"/>
      <c r="DU95" s="268"/>
      <c r="DV95" s="268"/>
      <c r="DW95" s="268"/>
      <c r="DX95" s="268"/>
      <c r="DY95" s="268"/>
      <c r="DZ95" s="268"/>
      <c r="EA95" s="268"/>
      <c r="EB95" s="268"/>
      <c r="EC95" s="268"/>
      <c r="ED95" s="268"/>
      <c r="EE95" s="268"/>
      <c r="EF95" s="268"/>
      <c r="EG95" s="268"/>
      <c r="EH95" s="268"/>
    </row>
    <row r="96" spans="1:138" outlineLevel="1">
      <c r="A96" s="474"/>
      <c r="B96" s="610"/>
      <c r="C96" s="511" t="s">
        <v>323</v>
      </c>
      <c r="D96" s="513" t="s">
        <v>245</v>
      </c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>
        <f>-BY11</f>
        <v>-114000000</v>
      </c>
      <c r="AD96" s="314"/>
      <c r="AE96" s="314"/>
      <c r="AF96" s="314"/>
      <c r="AG96" s="314"/>
      <c r="AH96" s="314"/>
      <c r="AI96" s="314"/>
      <c r="AJ96" s="314"/>
      <c r="AK96" s="314"/>
      <c r="AL96" s="314"/>
      <c r="AM96" s="314"/>
      <c r="AN96" s="314"/>
      <c r="AO96" s="314"/>
      <c r="AP96" s="314"/>
      <c r="AQ96" s="314"/>
      <c r="AR96" s="314"/>
      <c r="AS96" s="314"/>
      <c r="AT96" s="314"/>
      <c r="AU96" s="314"/>
      <c r="AV96" s="314"/>
      <c r="AW96" s="314"/>
      <c r="AX96" s="314"/>
      <c r="AY96" s="314"/>
      <c r="AZ96" s="314"/>
      <c r="BA96" s="314"/>
      <c r="BB96" s="314"/>
      <c r="BC96" s="314"/>
      <c r="BD96" s="314"/>
      <c r="BE96" s="314"/>
      <c r="BF96" s="314"/>
      <c r="BG96" s="314"/>
      <c r="BH96" s="314"/>
      <c r="BI96" s="314"/>
      <c r="BJ96" s="314"/>
      <c r="BK96" s="314"/>
      <c r="BL96" s="314"/>
      <c r="BM96" s="314"/>
      <c r="BN96" s="314"/>
      <c r="BO96" s="314"/>
      <c r="BP96" s="314"/>
      <c r="BQ96" s="314"/>
      <c r="BR96" s="314"/>
      <c r="BS96" s="314"/>
      <c r="BT96" s="314"/>
      <c r="BU96" s="314"/>
      <c r="BV96" s="314"/>
      <c r="BW96" s="314"/>
      <c r="BX96" s="315"/>
      <c r="BY96" s="305">
        <f t="shared" si="40"/>
        <v>-114000000</v>
      </c>
      <c r="BZ96" s="611"/>
      <c r="CA96" s="268"/>
      <c r="CB96" s="268"/>
      <c r="CC96" s="268"/>
      <c r="CD96" s="268"/>
      <c r="CE96" s="268"/>
      <c r="CF96" s="268"/>
      <c r="CG96" s="268"/>
      <c r="CH96" s="268"/>
      <c r="CI96" s="268"/>
      <c r="CJ96" s="268"/>
      <c r="CK96" s="268"/>
      <c r="CL96" s="268"/>
      <c r="CM96" s="268"/>
      <c r="CN96" s="268"/>
      <c r="CO96" s="268"/>
      <c r="CP96" s="268"/>
      <c r="CQ96" s="268"/>
      <c r="CR96" s="268"/>
      <c r="CS96" s="268"/>
      <c r="CT96" s="268"/>
      <c r="CU96" s="268"/>
      <c r="CV96" s="268"/>
      <c r="CW96" s="268"/>
      <c r="CX96" s="268"/>
      <c r="CY96" s="268"/>
      <c r="CZ96" s="268"/>
      <c r="DA96" s="268"/>
      <c r="DB96" s="268"/>
      <c r="DC96" s="268"/>
      <c r="DD96" s="268"/>
      <c r="DE96" s="268"/>
      <c r="DF96" s="268"/>
      <c r="DG96" s="268"/>
      <c r="DH96" s="268"/>
      <c r="DI96" s="268"/>
      <c r="DJ96" s="268"/>
      <c r="DK96" s="268"/>
      <c r="DL96" s="268"/>
      <c r="DM96" s="268"/>
      <c r="DN96" s="268"/>
      <c r="DO96" s="268"/>
      <c r="DP96" s="268"/>
      <c r="DQ96" s="268"/>
      <c r="DR96" s="268"/>
      <c r="DS96" s="268"/>
      <c r="DT96" s="268"/>
      <c r="DU96" s="268"/>
      <c r="DV96" s="268"/>
      <c r="DW96" s="268"/>
      <c r="DX96" s="268"/>
      <c r="DY96" s="268"/>
      <c r="DZ96" s="268"/>
      <c r="EA96" s="268"/>
      <c r="EB96" s="268"/>
      <c r="EC96" s="268"/>
      <c r="ED96" s="268"/>
      <c r="EE96" s="268"/>
      <c r="EF96" s="268"/>
      <c r="EG96" s="268"/>
      <c r="EH96" s="268"/>
    </row>
    <row r="97" spans="1:138" ht="15.95">
      <c r="A97" s="474"/>
      <c r="B97" s="577" t="s">
        <v>324</v>
      </c>
      <c r="C97" s="598"/>
      <c r="D97" s="514" t="s">
        <v>245</v>
      </c>
      <c r="E97" s="329">
        <f t="shared" ref="E97:BX97" si="41">(E18+E24+E27+E35+E38+E48+E54+E62+E86+E89)</f>
        <v>0</v>
      </c>
      <c r="F97" s="329">
        <f t="shared" si="41"/>
        <v>0</v>
      </c>
      <c r="G97" s="329">
        <f t="shared" si="41"/>
        <v>0</v>
      </c>
      <c r="H97" s="329">
        <f t="shared" si="41"/>
        <v>0</v>
      </c>
      <c r="I97" s="329">
        <f t="shared" si="41"/>
        <v>0</v>
      </c>
      <c r="J97" s="329">
        <f t="shared" si="41"/>
        <v>0</v>
      </c>
      <c r="K97" s="329">
        <f t="shared" si="41"/>
        <v>0</v>
      </c>
      <c r="L97" s="329">
        <f t="shared" si="41"/>
        <v>0</v>
      </c>
      <c r="M97" s="329">
        <f t="shared" si="41"/>
        <v>0</v>
      </c>
      <c r="N97" s="329">
        <f t="shared" si="41"/>
        <v>0</v>
      </c>
      <c r="O97" s="329">
        <f t="shared" si="41"/>
        <v>0</v>
      </c>
      <c r="P97" s="329">
        <f t="shared" si="41"/>
        <v>0</v>
      </c>
      <c r="Q97" s="329">
        <f t="shared" si="41"/>
        <v>0</v>
      </c>
      <c r="R97" s="329">
        <f t="shared" si="41"/>
        <v>0</v>
      </c>
      <c r="S97" s="329" t="e">
        <f t="shared" si="41"/>
        <v>#REF!</v>
      </c>
      <c r="T97" s="329" t="e">
        <f t="shared" si="41"/>
        <v>#REF!</v>
      </c>
      <c r="U97" s="329" t="e">
        <f t="shared" si="41"/>
        <v>#REF!</v>
      </c>
      <c r="V97" s="329" t="e">
        <f t="shared" si="41"/>
        <v>#REF!</v>
      </c>
      <c r="W97" s="329" t="e">
        <f t="shared" si="41"/>
        <v>#REF!</v>
      </c>
      <c r="X97" s="329" t="e">
        <f t="shared" si="41"/>
        <v>#REF!</v>
      </c>
      <c r="Y97" s="329" t="e">
        <f t="shared" si="41"/>
        <v>#REF!</v>
      </c>
      <c r="Z97" s="329" t="e">
        <f t="shared" si="41"/>
        <v>#REF!</v>
      </c>
      <c r="AA97" s="329" t="e">
        <f t="shared" si="41"/>
        <v>#REF!</v>
      </c>
      <c r="AB97" s="329" t="e">
        <f t="shared" si="41"/>
        <v>#REF!</v>
      </c>
      <c r="AC97" s="329">
        <f t="shared" si="41"/>
        <v>-148063706.6321899</v>
      </c>
      <c r="AD97" s="329">
        <f t="shared" si="41"/>
        <v>-10874444.444444444</v>
      </c>
      <c r="AE97" s="329">
        <f t="shared" si="41"/>
        <v>-10874444.444444444</v>
      </c>
      <c r="AF97" s="329">
        <f t="shared" si="41"/>
        <v>0</v>
      </c>
      <c r="AG97" s="329">
        <f t="shared" si="41"/>
        <v>0</v>
      </c>
      <c r="AH97" s="329">
        <f t="shared" si="41"/>
        <v>0</v>
      </c>
      <c r="AI97" s="329">
        <f t="shared" si="41"/>
        <v>0</v>
      </c>
      <c r="AJ97" s="329">
        <f t="shared" si="41"/>
        <v>0</v>
      </c>
      <c r="AK97" s="329">
        <f t="shared" si="41"/>
        <v>0</v>
      </c>
      <c r="AL97" s="329">
        <f t="shared" si="41"/>
        <v>0</v>
      </c>
      <c r="AM97" s="329">
        <f t="shared" si="41"/>
        <v>0</v>
      </c>
      <c r="AN97" s="329">
        <f t="shared" si="41"/>
        <v>0</v>
      </c>
      <c r="AO97" s="329">
        <f t="shared" si="41"/>
        <v>0</v>
      </c>
      <c r="AP97" s="329">
        <f t="shared" si="41"/>
        <v>0</v>
      </c>
      <c r="AQ97" s="329">
        <f t="shared" si="41"/>
        <v>0</v>
      </c>
      <c r="AR97" s="329">
        <f t="shared" si="41"/>
        <v>0</v>
      </c>
      <c r="AS97" s="329">
        <f t="shared" si="41"/>
        <v>0</v>
      </c>
      <c r="AT97" s="329">
        <f t="shared" si="41"/>
        <v>0</v>
      </c>
      <c r="AU97" s="329">
        <f t="shared" si="41"/>
        <v>0</v>
      </c>
      <c r="AV97" s="329">
        <f t="shared" si="41"/>
        <v>0</v>
      </c>
      <c r="AW97" s="329">
        <f t="shared" si="41"/>
        <v>0</v>
      </c>
      <c r="AX97" s="329">
        <f t="shared" si="41"/>
        <v>0</v>
      </c>
      <c r="AY97" s="329">
        <f t="shared" si="41"/>
        <v>0</v>
      </c>
      <c r="AZ97" s="329">
        <f t="shared" si="41"/>
        <v>0</v>
      </c>
      <c r="BA97" s="329">
        <f t="shared" si="41"/>
        <v>0</v>
      </c>
      <c r="BB97" s="329">
        <f t="shared" si="41"/>
        <v>0</v>
      </c>
      <c r="BC97" s="329">
        <f t="shared" si="41"/>
        <v>0</v>
      </c>
      <c r="BD97" s="329">
        <f t="shared" si="41"/>
        <v>0</v>
      </c>
      <c r="BE97" s="329">
        <f t="shared" si="41"/>
        <v>0</v>
      </c>
      <c r="BF97" s="329">
        <f t="shared" si="41"/>
        <v>0</v>
      </c>
      <c r="BG97" s="329">
        <f t="shared" si="41"/>
        <v>0</v>
      </c>
      <c r="BH97" s="329">
        <f t="shared" si="41"/>
        <v>0</v>
      </c>
      <c r="BI97" s="329">
        <f t="shared" si="41"/>
        <v>0</v>
      </c>
      <c r="BJ97" s="329">
        <f t="shared" si="41"/>
        <v>0</v>
      </c>
      <c r="BK97" s="329">
        <f t="shared" si="41"/>
        <v>0</v>
      </c>
      <c r="BL97" s="329">
        <f t="shared" si="41"/>
        <v>0</v>
      </c>
      <c r="BM97" s="329">
        <f t="shared" si="41"/>
        <v>0</v>
      </c>
      <c r="BN97" s="329">
        <f t="shared" si="41"/>
        <v>0</v>
      </c>
      <c r="BO97" s="329">
        <f t="shared" si="41"/>
        <v>0</v>
      </c>
      <c r="BP97" s="329">
        <f t="shared" si="41"/>
        <v>0</v>
      </c>
      <c r="BQ97" s="329">
        <f t="shared" si="41"/>
        <v>0</v>
      </c>
      <c r="BR97" s="329">
        <f t="shared" si="41"/>
        <v>0</v>
      </c>
      <c r="BS97" s="329">
        <f t="shared" si="41"/>
        <v>0</v>
      </c>
      <c r="BT97" s="329">
        <f t="shared" si="41"/>
        <v>0</v>
      </c>
      <c r="BU97" s="329">
        <f t="shared" si="41"/>
        <v>0</v>
      </c>
      <c r="BV97" s="329">
        <f t="shared" si="41"/>
        <v>0</v>
      </c>
      <c r="BW97" s="329">
        <f t="shared" si="41"/>
        <v>0</v>
      </c>
      <c r="BX97" s="329">
        <f t="shared" si="41"/>
        <v>0</v>
      </c>
      <c r="BY97" s="580">
        <f>BZ90</f>
        <v>-133900000</v>
      </c>
      <c r="BZ97" s="610"/>
      <c r="CA97" s="268"/>
      <c r="CB97" s="268"/>
      <c r="CC97" s="268"/>
      <c r="CD97" s="268"/>
      <c r="CE97" s="268"/>
      <c r="CF97" s="268"/>
      <c r="CG97" s="268"/>
      <c r="CH97" s="268"/>
      <c r="CI97" s="268"/>
      <c r="CJ97" s="268"/>
      <c r="CK97" s="268"/>
      <c r="CL97" s="268"/>
      <c r="CM97" s="268"/>
      <c r="CN97" s="268"/>
      <c r="CO97" s="268"/>
      <c r="CP97" s="268"/>
      <c r="CQ97" s="268"/>
      <c r="CR97" s="268"/>
      <c r="CS97" s="268"/>
      <c r="CT97" s="268"/>
      <c r="CU97" s="268"/>
      <c r="CV97" s="268"/>
      <c r="CW97" s="268"/>
      <c r="CX97" s="268"/>
      <c r="CY97" s="268"/>
      <c r="CZ97" s="268"/>
      <c r="DA97" s="268"/>
      <c r="DB97" s="268"/>
      <c r="DC97" s="268"/>
      <c r="DD97" s="268"/>
      <c r="DE97" s="268"/>
      <c r="DF97" s="268"/>
      <c r="DG97" s="268"/>
      <c r="DH97" s="268"/>
      <c r="DI97" s="268"/>
      <c r="DJ97" s="268"/>
      <c r="DK97" s="268"/>
      <c r="DL97" s="268"/>
      <c r="DM97" s="268"/>
      <c r="DN97" s="268"/>
      <c r="DO97" s="268"/>
      <c r="DP97" s="268"/>
      <c r="DQ97" s="268"/>
      <c r="DR97" s="268"/>
      <c r="DS97" s="268"/>
      <c r="DT97" s="268"/>
      <c r="DU97" s="268"/>
      <c r="DV97" s="268"/>
      <c r="DW97" s="268"/>
      <c r="DX97" s="268"/>
      <c r="DY97" s="268"/>
      <c r="DZ97" s="268"/>
      <c r="EA97" s="268"/>
      <c r="EB97" s="268"/>
      <c r="EC97" s="268"/>
      <c r="ED97" s="268"/>
      <c r="EE97" s="268"/>
      <c r="EF97" s="268"/>
      <c r="EG97" s="268"/>
      <c r="EH97" s="268"/>
    </row>
    <row r="98" spans="1:138" ht="15.95">
      <c r="A98" s="474"/>
      <c r="B98" s="571" t="s">
        <v>325</v>
      </c>
      <c r="C98" s="598"/>
      <c r="D98" s="330"/>
      <c r="E98" s="331">
        <f t="shared" ref="E98:BX98" si="42">E17+E97</f>
        <v>0</v>
      </c>
      <c r="F98" s="331">
        <f t="shared" si="42"/>
        <v>0</v>
      </c>
      <c r="G98" s="331">
        <f t="shared" si="42"/>
        <v>0</v>
      </c>
      <c r="H98" s="331">
        <f t="shared" si="42"/>
        <v>0</v>
      </c>
      <c r="I98" s="331">
        <f t="shared" si="42"/>
        <v>0</v>
      </c>
      <c r="J98" s="331">
        <f t="shared" si="42"/>
        <v>0</v>
      </c>
      <c r="K98" s="331">
        <f t="shared" si="42"/>
        <v>0</v>
      </c>
      <c r="L98" s="331">
        <f t="shared" si="42"/>
        <v>0</v>
      </c>
      <c r="M98" s="332">
        <f t="shared" si="42"/>
        <v>0</v>
      </c>
      <c r="N98" s="331">
        <f t="shared" si="42"/>
        <v>0</v>
      </c>
      <c r="O98" s="332">
        <f t="shared" si="42"/>
        <v>0</v>
      </c>
      <c r="P98" s="332">
        <f t="shared" si="42"/>
        <v>0</v>
      </c>
      <c r="Q98" s="332">
        <f t="shared" si="42"/>
        <v>0</v>
      </c>
      <c r="R98" s="332">
        <f t="shared" si="42"/>
        <v>0</v>
      </c>
      <c r="S98" s="332" t="e">
        <f t="shared" si="42"/>
        <v>#REF!</v>
      </c>
      <c r="T98" s="332" t="e">
        <f t="shared" si="42"/>
        <v>#REF!</v>
      </c>
      <c r="U98" s="331" t="e">
        <f t="shared" si="42"/>
        <v>#REF!</v>
      </c>
      <c r="V98" s="331" t="e">
        <f t="shared" si="42"/>
        <v>#REF!</v>
      </c>
      <c r="W98" s="331" t="e">
        <f t="shared" si="42"/>
        <v>#REF!</v>
      </c>
      <c r="X98" s="332" t="e">
        <f t="shared" si="42"/>
        <v>#REF!</v>
      </c>
      <c r="Y98" s="332" t="e">
        <f t="shared" si="42"/>
        <v>#REF!</v>
      </c>
      <c r="Z98" s="332" t="e">
        <f t="shared" si="42"/>
        <v>#REF!</v>
      </c>
      <c r="AA98" s="332" t="e">
        <f t="shared" si="42"/>
        <v>#REF!</v>
      </c>
      <c r="AB98" s="332" t="e">
        <f t="shared" si="42"/>
        <v>#REF!</v>
      </c>
      <c r="AC98" s="331" t="e">
        <f t="shared" si="42"/>
        <v>#REF!</v>
      </c>
      <c r="AD98" s="332" t="e">
        <f t="shared" si="42"/>
        <v>#REF!</v>
      </c>
      <c r="AE98" s="332">
        <f t="shared" si="42"/>
        <v>191705547.82693014</v>
      </c>
      <c r="AF98" s="332">
        <f t="shared" si="42"/>
        <v>0</v>
      </c>
      <c r="AG98" s="332">
        <f t="shared" si="42"/>
        <v>0</v>
      </c>
      <c r="AH98" s="332">
        <f t="shared" si="42"/>
        <v>0</v>
      </c>
      <c r="AI98" s="332">
        <f t="shared" si="42"/>
        <v>0</v>
      </c>
      <c r="AJ98" s="332">
        <f t="shared" si="42"/>
        <v>0</v>
      </c>
      <c r="AK98" s="332">
        <f t="shared" si="42"/>
        <v>0</v>
      </c>
      <c r="AL98" s="332">
        <f t="shared" si="42"/>
        <v>0</v>
      </c>
      <c r="AM98" s="332">
        <f t="shared" si="42"/>
        <v>0</v>
      </c>
      <c r="AN98" s="332">
        <f t="shared" si="42"/>
        <v>0</v>
      </c>
      <c r="AO98" s="331">
        <f t="shared" si="42"/>
        <v>0</v>
      </c>
      <c r="AP98" s="332">
        <f t="shared" si="42"/>
        <v>0</v>
      </c>
      <c r="AQ98" s="332">
        <f t="shared" si="42"/>
        <v>0</v>
      </c>
      <c r="AR98" s="332">
        <f t="shared" si="42"/>
        <v>0</v>
      </c>
      <c r="AS98" s="331">
        <f t="shared" si="42"/>
        <v>0</v>
      </c>
      <c r="AT98" s="331">
        <f t="shared" si="42"/>
        <v>0</v>
      </c>
      <c r="AU98" s="331">
        <f t="shared" si="42"/>
        <v>0</v>
      </c>
      <c r="AV98" s="331">
        <f t="shared" si="42"/>
        <v>0</v>
      </c>
      <c r="AW98" s="331">
        <f t="shared" si="42"/>
        <v>0</v>
      </c>
      <c r="AX98" s="331">
        <f t="shared" si="42"/>
        <v>0</v>
      </c>
      <c r="AY98" s="331">
        <f t="shared" si="42"/>
        <v>0</v>
      </c>
      <c r="AZ98" s="331">
        <f t="shared" si="42"/>
        <v>0</v>
      </c>
      <c r="BA98" s="331">
        <f t="shared" si="42"/>
        <v>0</v>
      </c>
      <c r="BB98" s="331">
        <f t="shared" si="42"/>
        <v>0</v>
      </c>
      <c r="BC98" s="331">
        <f t="shared" si="42"/>
        <v>0</v>
      </c>
      <c r="BD98" s="331">
        <f t="shared" si="42"/>
        <v>0</v>
      </c>
      <c r="BE98" s="331">
        <f t="shared" si="42"/>
        <v>0</v>
      </c>
      <c r="BF98" s="331">
        <f t="shared" si="42"/>
        <v>0</v>
      </c>
      <c r="BG98" s="331">
        <f t="shared" si="42"/>
        <v>0</v>
      </c>
      <c r="BH98" s="331">
        <f t="shared" si="42"/>
        <v>0</v>
      </c>
      <c r="BI98" s="331">
        <f t="shared" si="42"/>
        <v>0</v>
      </c>
      <c r="BJ98" s="331">
        <f t="shared" si="42"/>
        <v>0</v>
      </c>
      <c r="BK98" s="331">
        <f t="shared" si="42"/>
        <v>0</v>
      </c>
      <c r="BL98" s="333">
        <f t="shared" si="42"/>
        <v>0</v>
      </c>
      <c r="BM98" s="333">
        <f t="shared" si="42"/>
        <v>0</v>
      </c>
      <c r="BN98" s="333">
        <f t="shared" si="42"/>
        <v>0</v>
      </c>
      <c r="BO98" s="333">
        <f t="shared" si="42"/>
        <v>0</v>
      </c>
      <c r="BP98" s="333">
        <f t="shared" si="42"/>
        <v>0</v>
      </c>
      <c r="BQ98" s="333">
        <f t="shared" si="42"/>
        <v>0</v>
      </c>
      <c r="BR98" s="333">
        <f t="shared" si="42"/>
        <v>0</v>
      </c>
      <c r="BS98" s="333">
        <f t="shared" si="42"/>
        <v>0</v>
      </c>
      <c r="BT98" s="333">
        <f t="shared" si="42"/>
        <v>0</v>
      </c>
      <c r="BU98" s="333">
        <f t="shared" si="42"/>
        <v>0</v>
      </c>
      <c r="BV98" s="333">
        <f t="shared" si="42"/>
        <v>0</v>
      </c>
      <c r="BW98" s="333">
        <f t="shared" si="42"/>
        <v>0</v>
      </c>
      <c r="BX98" s="333">
        <f t="shared" si="42"/>
        <v>0</v>
      </c>
      <c r="BY98" s="581" t="e">
        <f>BY17+BY89+BY97</f>
        <v>#REF!</v>
      </c>
      <c r="BZ98" s="612"/>
      <c r="CA98" s="268"/>
      <c r="CB98" s="268"/>
      <c r="CC98" s="268"/>
      <c r="CD98" s="268"/>
      <c r="CE98" s="268"/>
      <c r="CF98" s="268"/>
      <c r="CG98" s="268"/>
      <c r="CH98" s="268"/>
      <c r="CI98" s="268"/>
      <c r="CJ98" s="268"/>
      <c r="CK98" s="268"/>
      <c r="CL98" s="268"/>
      <c r="CM98" s="268"/>
      <c r="CN98" s="268"/>
      <c r="CO98" s="268"/>
      <c r="CP98" s="268"/>
      <c r="CQ98" s="268"/>
      <c r="CR98" s="268"/>
      <c r="CS98" s="268"/>
      <c r="CT98" s="268"/>
      <c r="CU98" s="268"/>
      <c r="CV98" s="268"/>
      <c r="CW98" s="268"/>
      <c r="CX98" s="268"/>
      <c r="CY98" s="268"/>
      <c r="CZ98" s="268"/>
      <c r="DA98" s="268"/>
      <c r="DB98" s="268"/>
      <c r="DC98" s="268"/>
      <c r="DD98" s="268"/>
      <c r="DE98" s="268"/>
      <c r="DF98" s="268"/>
      <c r="DG98" s="268"/>
      <c r="DH98" s="268"/>
      <c r="DI98" s="268"/>
      <c r="DJ98" s="268"/>
      <c r="DK98" s="268"/>
      <c r="DL98" s="268"/>
      <c r="DM98" s="268"/>
      <c r="DN98" s="268"/>
      <c r="DO98" s="268"/>
      <c r="DP98" s="268"/>
      <c r="DQ98" s="268"/>
      <c r="DR98" s="268"/>
      <c r="DS98" s="268"/>
      <c r="DT98" s="268"/>
      <c r="DU98" s="268"/>
      <c r="DV98" s="268"/>
      <c r="DW98" s="268"/>
      <c r="DX98" s="268"/>
      <c r="DY98" s="268"/>
      <c r="DZ98" s="268"/>
      <c r="EA98" s="268"/>
      <c r="EB98" s="268"/>
      <c r="EC98" s="268"/>
      <c r="ED98" s="268"/>
      <c r="EE98" s="268"/>
      <c r="EF98" s="268"/>
      <c r="EG98" s="268"/>
      <c r="EH98" s="268"/>
    </row>
    <row r="99" spans="1:138">
      <c r="A99" s="474"/>
      <c r="B99" s="572" t="s">
        <v>326</v>
      </c>
      <c r="C99" s="598"/>
      <c r="D99" s="334"/>
      <c r="E99" s="335">
        <f>E98</f>
        <v>0</v>
      </c>
      <c r="F99" s="335">
        <f t="shared" ref="F99:BX99" si="43">F98+E99</f>
        <v>0</v>
      </c>
      <c r="G99" s="335">
        <f t="shared" si="43"/>
        <v>0</v>
      </c>
      <c r="H99" s="335">
        <f t="shared" si="43"/>
        <v>0</v>
      </c>
      <c r="I99" s="335">
        <f t="shared" si="43"/>
        <v>0</v>
      </c>
      <c r="J99" s="335">
        <f t="shared" si="43"/>
        <v>0</v>
      </c>
      <c r="K99" s="335">
        <f t="shared" si="43"/>
        <v>0</v>
      </c>
      <c r="L99" s="335">
        <f t="shared" si="43"/>
        <v>0</v>
      </c>
      <c r="M99" s="335">
        <f t="shared" si="43"/>
        <v>0</v>
      </c>
      <c r="N99" s="335">
        <f t="shared" si="43"/>
        <v>0</v>
      </c>
      <c r="O99" s="335">
        <f t="shared" si="43"/>
        <v>0</v>
      </c>
      <c r="P99" s="335">
        <f t="shared" si="43"/>
        <v>0</v>
      </c>
      <c r="Q99" s="335">
        <f t="shared" si="43"/>
        <v>0</v>
      </c>
      <c r="R99" s="335">
        <f t="shared" si="43"/>
        <v>0</v>
      </c>
      <c r="S99" s="335" t="e">
        <f t="shared" si="43"/>
        <v>#REF!</v>
      </c>
      <c r="T99" s="335" t="e">
        <f t="shared" si="43"/>
        <v>#REF!</v>
      </c>
      <c r="U99" s="335" t="e">
        <f t="shared" si="43"/>
        <v>#REF!</v>
      </c>
      <c r="V99" s="335" t="e">
        <f t="shared" si="43"/>
        <v>#REF!</v>
      </c>
      <c r="W99" s="335" t="e">
        <f t="shared" si="43"/>
        <v>#REF!</v>
      </c>
      <c r="X99" s="335" t="e">
        <f t="shared" si="43"/>
        <v>#REF!</v>
      </c>
      <c r="Y99" s="335" t="e">
        <f t="shared" si="43"/>
        <v>#REF!</v>
      </c>
      <c r="Z99" s="335" t="e">
        <f t="shared" si="43"/>
        <v>#REF!</v>
      </c>
      <c r="AA99" s="335" t="e">
        <f t="shared" si="43"/>
        <v>#REF!</v>
      </c>
      <c r="AB99" s="335" t="e">
        <f t="shared" si="43"/>
        <v>#REF!</v>
      </c>
      <c r="AC99" s="335" t="e">
        <f t="shared" si="43"/>
        <v>#REF!</v>
      </c>
      <c r="AD99" s="335" t="e">
        <f t="shared" si="43"/>
        <v>#REF!</v>
      </c>
      <c r="AE99" s="335" t="e">
        <f t="shared" si="43"/>
        <v>#REF!</v>
      </c>
      <c r="AF99" s="335" t="e">
        <f t="shared" si="43"/>
        <v>#REF!</v>
      </c>
      <c r="AG99" s="335" t="e">
        <f t="shared" si="43"/>
        <v>#REF!</v>
      </c>
      <c r="AH99" s="335" t="e">
        <f t="shared" si="43"/>
        <v>#REF!</v>
      </c>
      <c r="AI99" s="335" t="e">
        <f t="shared" si="43"/>
        <v>#REF!</v>
      </c>
      <c r="AJ99" s="335" t="e">
        <f t="shared" si="43"/>
        <v>#REF!</v>
      </c>
      <c r="AK99" s="335" t="e">
        <f t="shared" si="43"/>
        <v>#REF!</v>
      </c>
      <c r="AL99" s="335" t="e">
        <f t="shared" si="43"/>
        <v>#REF!</v>
      </c>
      <c r="AM99" s="335" t="e">
        <f t="shared" si="43"/>
        <v>#REF!</v>
      </c>
      <c r="AN99" s="335" t="e">
        <f t="shared" si="43"/>
        <v>#REF!</v>
      </c>
      <c r="AO99" s="335" t="e">
        <f t="shared" si="43"/>
        <v>#REF!</v>
      </c>
      <c r="AP99" s="335" t="e">
        <f t="shared" si="43"/>
        <v>#REF!</v>
      </c>
      <c r="AQ99" s="335" t="e">
        <f t="shared" si="43"/>
        <v>#REF!</v>
      </c>
      <c r="AR99" s="335" t="e">
        <f t="shared" si="43"/>
        <v>#REF!</v>
      </c>
      <c r="AS99" s="335" t="e">
        <f t="shared" si="43"/>
        <v>#REF!</v>
      </c>
      <c r="AT99" s="335" t="e">
        <f t="shared" si="43"/>
        <v>#REF!</v>
      </c>
      <c r="AU99" s="335" t="e">
        <f t="shared" si="43"/>
        <v>#REF!</v>
      </c>
      <c r="AV99" s="335" t="e">
        <f t="shared" si="43"/>
        <v>#REF!</v>
      </c>
      <c r="AW99" s="335" t="e">
        <f t="shared" si="43"/>
        <v>#REF!</v>
      </c>
      <c r="AX99" s="335" t="e">
        <f t="shared" si="43"/>
        <v>#REF!</v>
      </c>
      <c r="AY99" s="335" t="e">
        <f t="shared" si="43"/>
        <v>#REF!</v>
      </c>
      <c r="AZ99" s="335" t="e">
        <f t="shared" si="43"/>
        <v>#REF!</v>
      </c>
      <c r="BA99" s="335" t="e">
        <f t="shared" si="43"/>
        <v>#REF!</v>
      </c>
      <c r="BB99" s="335" t="e">
        <f t="shared" si="43"/>
        <v>#REF!</v>
      </c>
      <c r="BC99" s="335" t="e">
        <f t="shared" si="43"/>
        <v>#REF!</v>
      </c>
      <c r="BD99" s="335" t="e">
        <f t="shared" si="43"/>
        <v>#REF!</v>
      </c>
      <c r="BE99" s="335" t="e">
        <f t="shared" si="43"/>
        <v>#REF!</v>
      </c>
      <c r="BF99" s="335" t="e">
        <f t="shared" si="43"/>
        <v>#REF!</v>
      </c>
      <c r="BG99" s="335" t="e">
        <f t="shared" si="43"/>
        <v>#REF!</v>
      </c>
      <c r="BH99" s="335" t="e">
        <f t="shared" si="43"/>
        <v>#REF!</v>
      </c>
      <c r="BI99" s="335" t="e">
        <f t="shared" si="43"/>
        <v>#REF!</v>
      </c>
      <c r="BJ99" s="335" t="e">
        <f t="shared" si="43"/>
        <v>#REF!</v>
      </c>
      <c r="BK99" s="335" t="e">
        <f t="shared" si="43"/>
        <v>#REF!</v>
      </c>
      <c r="BL99" s="335" t="e">
        <f t="shared" si="43"/>
        <v>#REF!</v>
      </c>
      <c r="BM99" s="335" t="e">
        <f t="shared" si="43"/>
        <v>#REF!</v>
      </c>
      <c r="BN99" s="335" t="e">
        <f t="shared" si="43"/>
        <v>#REF!</v>
      </c>
      <c r="BO99" s="335" t="e">
        <f t="shared" si="43"/>
        <v>#REF!</v>
      </c>
      <c r="BP99" s="335" t="e">
        <f t="shared" si="43"/>
        <v>#REF!</v>
      </c>
      <c r="BQ99" s="335" t="e">
        <f t="shared" si="43"/>
        <v>#REF!</v>
      </c>
      <c r="BR99" s="335" t="e">
        <f t="shared" si="43"/>
        <v>#REF!</v>
      </c>
      <c r="BS99" s="335" t="e">
        <f t="shared" si="43"/>
        <v>#REF!</v>
      </c>
      <c r="BT99" s="335" t="e">
        <f t="shared" si="43"/>
        <v>#REF!</v>
      </c>
      <c r="BU99" s="335" t="e">
        <f t="shared" si="43"/>
        <v>#REF!</v>
      </c>
      <c r="BV99" s="335" t="e">
        <f t="shared" si="43"/>
        <v>#REF!</v>
      </c>
      <c r="BW99" s="335" t="e">
        <f t="shared" si="43"/>
        <v>#REF!</v>
      </c>
      <c r="BX99" s="335" t="e">
        <f t="shared" si="43"/>
        <v>#REF!</v>
      </c>
      <c r="BY99" s="268"/>
      <c r="BZ99" s="268"/>
      <c r="CA99" s="268"/>
      <c r="CB99" s="268"/>
      <c r="CC99" s="268"/>
      <c r="CD99" s="268"/>
      <c r="CE99" s="268"/>
      <c r="CF99" s="268"/>
      <c r="CG99" s="268"/>
      <c r="CH99" s="268"/>
      <c r="CI99" s="268"/>
      <c r="CJ99" s="268"/>
      <c r="CK99" s="268"/>
      <c r="CL99" s="268"/>
      <c r="CM99" s="268"/>
      <c r="CN99" s="268"/>
      <c r="CO99" s="268"/>
      <c r="CP99" s="268"/>
      <c r="CQ99" s="268"/>
      <c r="CR99" s="268"/>
      <c r="CS99" s="268"/>
      <c r="CT99" s="268"/>
      <c r="CU99" s="268"/>
      <c r="CV99" s="268"/>
      <c r="CW99" s="268"/>
      <c r="CX99" s="268"/>
      <c r="CY99" s="268"/>
      <c r="CZ99" s="268"/>
      <c r="DA99" s="268"/>
      <c r="DB99" s="268"/>
      <c r="DC99" s="268"/>
      <c r="DD99" s="268"/>
      <c r="DE99" s="268"/>
      <c r="DF99" s="268"/>
      <c r="DG99" s="268"/>
      <c r="DH99" s="268"/>
      <c r="DI99" s="268"/>
      <c r="DJ99" s="268"/>
      <c r="DK99" s="268"/>
      <c r="DL99" s="268"/>
      <c r="DM99" s="268"/>
      <c r="DN99" s="268"/>
      <c r="DO99" s="268"/>
      <c r="DP99" s="268"/>
      <c r="DQ99" s="268"/>
      <c r="DR99" s="268"/>
      <c r="DS99" s="268"/>
      <c r="DT99" s="268"/>
      <c r="DU99" s="268"/>
      <c r="DV99" s="268"/>
      <c r="DW99" s="268"/>
      <c r="DX99" s="268"/>
      <c r="DY99" s="268"/>
      <c r="DZ99" s="268"/>
      <c r="EA99" s="268"/>
      <c r="EB99" s="268"/>
      <c r="EC99" s="268"/>
      <c r="ED99" s="268"/>
      <c r="EE99" s="268"/>
      <c r="EF99" s="268"/>
      <c r="EG99" s="268"/>
      <c r="EH99" s="268"/>
    </row>
    <row r="100" spans="1:138">
      <c r="A100" s="268"/>
      <c r="B100" s="268"/>
      <c r="C100" s="268"/>
      <c r="D100" s="268"/>
      <c r="E100" s="268"/>
      <c r="F100" s="268"/>
      <c r="G100" s="268"/>
      <c r="H100" s="268"/>
      <c r="I100" s="268"/>
      <c r="J100" s="268"/>
      <c r="K100" s="268"/>
      <c r="L100" s="268"/>
      <c r="M100" s="268"/>
      <c r="N100" s="268"/>
      <c r="O100" s="268"/>
      <c r="P100" s="268"/>
      <c r="Q100" s="268"/>
      <c r="R100" s="268"/>
      <c r="S100" s="268"/>
      <c r="T100" s="268"/>
      <c r="U100" s="268"/>
      <c r="V100" s="268"/>
      <c r="W100" s="268"/>
      <c r="X100" s="268"/>
      <c r="Y100" s="268"/>
      <c r="Z100" s="268"/>
      <c r="AA100" s="268"/>
      <c r="AB100" s="268"/>
      <c r="AC100" s="268"/>
      <c r="AD100" s="268"/>
      <c r="AE100" s="268"/>
      <c r="AF100" s="268"/>
      <c r="AG100" s="268"/>
      <c r="AH100" s="268"/>
      <c r="AI100" s="268"/>
      <c r="AJ100" s="268"/>
      <c r="AK100" s="268"/>
      <c r="AL100" s="268"/>
      <c r="AM100" s="268"/>
      <c r="AN100" s="268"/>
      <c r="AO100" s="268"/>
      <c r="AP100" s="268"/>
      <c r="AQ100" s="268"/>
      <c r="AR100" s="268"/>
      <c r="AS100" s="268"/>
      <c r="AT100" s="268"/>
      <c r="AU100" s="268"/>
      <c r="AV100" s="268"/>
      <c r="AW100" s="268"/>
      <c r="AX100" s="268"/>
      <c r="AY100" s="268"/>
      <c r="AZ100" s="268"/>
      <c r="BA100" s="268"/>
      <c r="BB100" s="268"/>
      <c r="BC100" s="268"/>
      <c r="BD100" s="268"/>
      <c r="BE100" s="268"/>
      <c r="BF100" s="268"/>
      <c r="BG100" s="268"/>
      <c r="BH100" s="268"/>
      <c r="BI100" s="268"/>
      <c r="BJ100" s="268"/>
      <c r="BK100" s="268"/>
      <c r="BL100" s="268"/>
      <c r="BM100" s="268"/>
      <c r="BN100" s="268"/>
      <c r="BO100" s="268"/>
      <c r="BP100" s="268"/>
      <c r="BQ100" s="268"/>
      <c r="BR100" s="268"/>
      <c r="BS100" s="268"/>
      <c r="BT100" s="268"/>
      <c r="BU100" s="268"/>
      <c r="BV100" s="268"/>
      <c r="BW100" s="268"/>
      <c r="BX100" s="268"/>
      <c r="BY100" s="336"/>
      <c r="BZ100" s="268"/>
      <c r="CA100" s="268"/>
      <c r="CB100" s="268"/>
      <c r="CC100" s="268"/>
      <c r="CD100" s="268"/>
      <c r="CE100" s="268"/>
      <c r="CF100" s="268"/>
      <c r="CG100" s="268"/>
      <c r="CH100" s="268"/>
      <c r="CI100" s="268"/>
      <c r="CJ100" s="268"/>
      <c r="CK100" s="268"/>
      <c r="CL100" s="268"/>
      <c r="CM100" s="268"/>
      <c r="CN100" s="268"/>
      <c r="CO100" s="268"/>
      <c r="CP100" s="268"/>
      <c r="CQ100" s="268"/>
      <c r="CR100" s="268"/>
      <c r="CS100" s="268"/>
      <c r="CT100" s="268"/>
      <c r="CU100" s="268"/>
      <c r="CV100" s="268"/>
      <c r="CW100" s="268"/>
      <c r="CX100" s="268"/>
      <c r="CY100" s="268"/>
      <c r="CZ100" s="268"/>
      <c r="DA100" s="268"/>
      <c r="DB100" s="268"/>
      <c r="DC100" s="268"/>
      <c r="DD100" s="268"/>
      <c r="DE100" s="268"/>
      <c r="DF100" s="268"/>
      <c r="DG100" s="268"/>
      <c r="DH100" s="268"/>
      <c r="DI100" s="268"/>
      <c r="DJ100" s="268"/>
      <c r="DK100" s="268"/>
      <c r="DL100" s="268"/>
      <c r="DM100" s="268"/>
      <c r="DN100" s="268"/>
      <c r="DO100" s="268"/>
      <c r="DP100" s="268"/>
      <c r="DQ100" s="268"/>
      <c r="DR100" s="268"/>
      <c r="DS100" s="268"/>
      <c r="DT100" s="268"/>
      <c r="DU100" s="268"/>
      <c r="DV100" s="268"/>
      <c r="DW100" s="268"/>
      <c r="DX100" s="268"/>
      <c r="DY100" s="268"/>
      <c r="DZ100" s="268"/>
      <c r="EA100" s="268"/>
      <c r="EB100" s="268"/>
      <c r="EC100" s="268"/>
      <c r="ED100" s="268"/>
      <c r="EE100" s="268"/>
      <c r="EF100" s="268"/>
      <c r="EG100" s="268"/>
      <c r="EH100" s="268"/>
    </row>
    <row r="101" spans="1:138">
      <c r="A101" s="268"/>
      <c r="B101" s="268"/>
      <c r="C101" s="268"/>
      <c r="D101" s="337" t="s">
        <v>327</v>
      </c>
      <c r="E101" s="337"/>
      <c r="F101" s="337"/>
      <c r="G101" s="337"/>
      <c r="H101" s="337"/>
      <c r="I101" s="337"/>
      <c r="J101" s="337"/>
      <c r="K101" s="337"/>
      <c r="L101" s="337"/>
      <c r="M101" s="337"/>
      <c r="N101" s="337"/>
      <c r="O101" s="337"/>
      <c r="P101" s="337"/>
      <c r="Q101" s="337"/>
      <c r="R101" s="337"/>
      <c r="S101" s="337"/>
      <c r="T101" s="337"/>
      <c r="U101" s="337"/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38"/>
      <c r="AF101" s="338"/>
      <c r="AG101" s="338"/>
      <c r="AH101" s="338"/>
      <c r="AI101" s="338"/>
      <c r="AJ101" s="338"/>
      <c r="AK101" s="338"/>
      <c r="AL101" s="338"/>
      <c r="AM101" s="338"/>
      <c r="AN101" s="338"/>
      <c r="AO101" s="338"/>
      <c r="AP101" s="338"/>
      <c r="AQ101" s="338"/>
      <c r="AR101" s="338"/>
      <c r="AS101" s="338"/>
      <c r="AT101" s="338"/>
      <c r="AU101" s="338"/>
      <c r="AV101" s="338"/>
      <c r="AW101" s="338"/>
      <c r="AX101" s="338"/>
      <c r="AY101" s="338"/>
      <c r="AZ101" s="338"/>
      <c r="BA101" s="338"/>
      <c r="BB101" s="338"/>
      <c r="BC101" s="338"/>
      <c r="BD101" s="338"/>
      <c r="BE101" s="338"/>
      <c r="BF101" s="338"/>
      <c r="BG101" s="338"/>
      <c r="BH101" s="338"/>
      <c r="BI101" s="338"/>
      <c r="BJ101" s="338"/>
      <c r="BK101" s="338"/>
      <c r="BL101" s="338"/>
      <c r="BM101" s="338"/>
      <c r="BN101" s="338"/>
      <c r="BO101" s="338"/>
      <c r="BP101" s="338"/>
      <c r="BQ101" s="338"/>
      <c r="BR101" s="338"/>
      <c r="BS101" s="338"/>
      <c r="BT101" s="338"/>
      <c r="BU101" s="338"/>
      <c r="BV101" s="338"/>
      <c r="BW101" s="338"/>
      <c r="BX101" s="338"/>
      <c r="BY101" s="336"/>
      <c r="BZ101" s="268"/>
      <c r="CA101" s="268"/>
      <c r="CB101" s="268"/>
      <c r="CC101" s="268"/>
      <c r="CD101" s="268"/>
      <c r="CE101" s="268"/>
      <c r="CF101" s="268"/>
      <c r="CG101" s="268"/>
      <c r="CH101" s="268"/>
      <c r="CI101" s="268"/>
      <c r="CJ101" s="268"/>
      <c r="CK101" s="268"/>
      <c r="CL101" s="268"/>
      <c r="CM101" s="268"/>
      <c r="CN101" s="268"/>
      <c r="CO101" s="268"/>
      <c r="CP101" s="268"/>
      <c r="CQ101" s="268"/>
      <c r="CR101" s="268"/>
      <c r="CS101" s="268"/>
      <c r="CT101" s="268"/>
      <c r="CU101" s="268"/>
      <c r="CV101" s="268"/>
      <c r="CW101" s="268"/>
      <c r="CX101" s="268"/>
      <c r="CY101" s="268"/>
      <c r="CZ101" s="268"/>
      <c r="DA101" s="268"/>
      <c r="DB101" s="268"/>
      <c r="DC101" s="268"/>
      <c r="DD101" s="268"/>
      <c r="DE101" s="268"/>
      <c r="DF101" s="268"/>
      <c r="DG101" s="268"/>
      <c r="DH101" s="268"/>
      <c r="DI101" s="268"/>
      <c r="DJ101" s="268"/>
      <c r="DK101" s="268"/>
      <c r="DL101" s="268"/>
      <c r="DM101" s="268"/>
      <c r="DN101" s="268"/>
      <c r="DO101" s="268"/>
      <c r="DP101" s="268"/>
      <c r="DQ101" s="268"/>
      <c r="DR101" s="268"/>
      <c r="DS101" s="268"/>
      <c r="DT101" s="268"/>
      <c r="DU101" s="268"/>
      <c r="DV101" s="268"/>
      <c r="DW101" s="268"/>
      <c r="DX101" s="268"/>
      <c r="DY101" s="268"/>
      <c r="DZ101" s="268"/>
      <c r="EA101" s="268"/>
      <c r="EB101" s="268"/>
      <c r="EC101" s="268"/>
      <c r="ED101" s="268"/>
      <c r="EE101" s="268"/>
      <c r="EF101" s="268"/>
      <c r="EG101" s="268"/>
      <c r="EH101" s="268"/>
    </row>
    <row r="102" spans="1:138">
      <c r="A102" s="268"/>
      <c r="B102" s="268"/>
      <c r="C102" s="268"/>
      <c r="D102" s="268"/>
      <c r="E102" s="268"/>
      <c r="F102" s="268"/>
      <c r="G102" s="268"/>
      <c r="H102" s="268"/>
      <c r="I102" s="268"/>
      <c r="J102" s="268"/>
      <c r="K102" s="268"/>
      <c r="L102" s="268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68"/>
      <c r="X102" s="268"/>
      <c r="Y102" s="268"/>
      <c r="Z102" s="268"/>
      <c r="AA102" s="268"/>
      <c r="AB102" s="268"/>
      <c r="AC102" s="268"/>
      <c r="AD102" s="268"/>
      <c r="AE102" s="268"/>
      <c r="AF102" s="268"/>
      <c r="AG102" s="268"/>
      <c r="AH102" s="268"/>
      <c r="AI102" s="268"/>
      <c r="AJ102" s="268"/>
      <c r="AK102" s="268"/>
      <c r="AL102" s="268"/>
      <c r="AM102" s="268"/>
      <c r="AN102" s="268"/>
      <c r="AO102" s="268"/>
      <c r="AP102" s="268"/>
      <c r="AQ102" s="268"/>
      <c r="AR102" s="268"/>
      <c r="AS102" s="268"/>
      <c r="AT102" s="268"/>
      <c r="AU102" s="268"/>
      <c r="AV102" s="268"/>
      <c r="AW102" s="268"/>
      <c r="AX102" s="268"/>
      <c r="AY102" s="268"/>
      <c r="AZ102" s="268"/>
      <c r="BA102" s="268"/>
      <c r="BB102" s="268"/>
      <c r="BC102" s="268"/>
      <c r="BD102" s="268"/>
      <c r="BE102" s="268"/>
      <c r="BF102" s="268"/>
      <c r="BG102" s="268"/>
      <c r="BH102" s="268"/>
      <c r="BI102" s="268"/>
      <c r="BJ102" s="268"/>
      <c r="BK102" s="268"/>
      <c r="BL102" s="268"/>
      <c r="BM102" s="268"/>
      <c r="BN102" s="268"/>
      <c r="BO102" s="268"/>
      <c r="BP102" s="268"/>
      <c r="BQ102" s="268"/>
      <c r="BR102" s="268"/>
      <c r="BS102" s="268"/>
      <c r="BT102" s="268"/>
      <c r="BU102" s="268"/>
      <c r="BV102" s="268"/>
      <c r="BW102" s="268"/>
      <c r="BX102" s="268"/>
      <c r="BY102" s="336"/>
      <c r="BZ102" s="268"/>
      <c r="CA102" s="268"/>
      <c r="CB102" s="268"/>
      <c r="CC102" s="268"/>
      <c r="CD102" s="268"/>
      <c r="CE102" s="268"/>
      <c r="CF102" s="268"/>
      <c r="CG102" s="268"/>
      <c r="CH102" s="268"/>
      <c r="CI102" s="268"/>
      <c r="CJ102" s="268"/>
      <c r="CK102" s="268"/>
      <c r="CL102" s="268"/>
      <c r="CM102" s="268"/>
      <c r="CN102" s="268"/>
      <c r="CO102" s="268"/>
      <c r="CP102" s="268"/>
      <c r="CQ102" s="268"/>
      <c r="CR102" s="268"/>
      <c r="CS102" s="268"/>
      <c r="CT102" s="268"/>
      <c r="CU102" s="268"/>
      <c r="CV102" s="268"/>
      <c r="CW102" s="268"/>
      <c r="CX102" s="268"/>
      <c r="CY102" s="268"/>
      <c r="CZ102" s="268"/>
      <c r="DA102" s="268"/>
      <c r="DB102" s="268"/>
      <c r="DC102" s="268"/>
      <c r="DD102" s="268"/>
      <c r="DE102" s="268"/>
      <c r="DF102" s="268"/>
      <c r="DG102" s="268"/>
      <c r="DH102" s="268"/>
      <c r="DI102" s="268"/>
      <c r="DJ102" s="268"/>
      <c r="DK102" s="268"/>
      <c r="DL102" s="268"/>
      <c r="DM102" s="268"/>
      <c r="DN102" s="268"/>
      <c r="DO102" s="268"/>
      <c r="DP102" s="268"/>
      <c r="DQ102" s="268"/>
      <c r="DR102" s="268"/>
      <c r="DS102" s="268"/>
      <c r="DT102" s="268"/>
      <c r="DU102" s="268"/>
      <c r="DV102" s="268"/>
      <c r="DW102" s="268"/>
      <c r="DX102" s="268"/>
      <c r="DY102" s="268"/>
      <c r="DZ102" s="268"/>
      <c r="EA102" s="268"/>
      <c r="EB102" s="268"/>
      <c r="EC102" s="268"/>
      <c r="ED102" s="268"/>
      <c r="EE102" s="268"/>
      <c r="EF102" s="268"/>
      <c r="EG102" s="268"/>
      <c r="EH102" s="268"/>
    </row>
    <row r="103" spans="1:138">
      <c r="A103" s="268"/>
      <c r="B103" s="268"/>
      <c r="C103" s="339" t="s">
        <v>328</v>
      </c>
      <c r="D103" s="515"/>
      <c r="E103" s="516">
        <f>E111+E126+E142+E159</f>
        <v>0</v>
      </c>
      <c r="F103" s="516">
        <f t="shared" ref="F103:BW103" si="44">F111+F159</f>
        <v>0</v>
      </c>
      <c r="G103" s="516">
        <f t="shared" si="44"/>
        <v>0</v>
      </c>
      <c r="H103" s="516">
        <f t="shared" si="44"/>
        <v>0</v>
      </c>
      <c r="I103" s="516">
        <f t="shared" si="44"/>
        <v>0</v>
      </c>
      <c r="J103" s="516">
        <f t="shared" si="44"/>
        <v>0</v>
      </c>
      <c r="K103" s="516">
        <f t="shared" si="44"/>
        <v>0</v>
      </c>
      <c r="L103" s="516">
        <f t="shared" si="44"/>
        <v>0</v>
      </c>
      <c r="M103" s="516">
        <f t="shared" si="44"/>
        <v>0</v>
      </c>
      <c r="N103" s="516">
        <f t="shared" si="44"/>
        <v>0</v>
      </c>
      <c r="O103" s="516">
        <f t="shared" si="44"/>
        <v>0</v>
      </c>
      <c r="P103" s="516">
        <f t="shared" si="44"/>
        <v>0</v>
      </c>
      <c r="Q103" s="516">
        <f t="shared" si="44"/>
        <v>0</v>
      </c>
      <c r="R103" s="516">
        <f t="shared" si="44"/>
        <v>0</v>
      </c>
      <c r="S103" s="516">
        <f t="shared" si="44"/>
        <v>0</v>
      </c>
      <c r="T103" s="516">
        <f t="shared" si="44"/>
        <v>0</v>
      </c>
      <c r="U103" s="516">
        <f t="shared" si="44"/>
        <v>0</v>
      </c>
      <c r="V103" s="516">
        <f t="shared" si="44"/>
        <v>0</v>
      </c>
      <c r="W103" s="516">
        <f t="shared" si="44"/>
        <v>0</v>
      </c>
      <c r="X103" s="516">
        <f t="shared" si="44"/>
        <v>0</v>
      </c>
      <c r="Y103" s="516">
        <f t="shared" si="44"/>
        <v>0</v>
      </c>
      <c r="Z103" s="516">
        <f t="shared" si="44"/>
        <v>0</v>
      </c>
      <c r="AA103" s="516">
        <f t="shared" si="44"/>
        <v>0</v>
      </c>
      <c r="AB103" s="516">
        <f t="shared" si="44"/>
        <v>0</v>
      </c>
      <c r="AC103" s="516">
        <f t="shared" si="44"/>
        <v>0</v>
      </c>
      <c r="AD103" s="516">
        <f t="shared" si="44"/>
        <v>0</v>
      </c>
      <c r="AE103" s="516">
        <f t="shared" si="44"/>
        <v>0</v>
      </c>
      <c r="AF103" s="516">
        <f t="shared" si="44"/>
        <v>0</v>
      </c>
      <c r="AG103" s="516">
        <f t="shared" si="44"/>
        <v>0</v>
      </c>
      <c r="AH103" s="516">
        <f t="shared" si="44"/>
        <v>0</v>
      </c>
      <c r="AI103" s="516">
        <f t="shared" si="44"/>
        <v>0</v>
      </c>
      <c r="AJ103" s="516">
        <f t="shared" si="44"/>
        <v>0</v>
      </c>
      <c r="AK103" s="516">
        <f t="shared" si="44"/>
        <v>0</v>
      </c>
      <c r="AL103" s="516">
        <f t="shared" si="44"/>
        <v>0</v>
      </c>
      <c r="AM103" s="516">
        <f t="shared" si="44"/>
        <v>0</v>
      </c>
      <c r="AN103" s="516">
        <f t="shared" si="44"/>
        <v>0</v>
      </c>
      <c r="AO103" s="516">
        <f t="shared" si="44"/>
        <v>0</v>
      </c>
      <c r="AP103" s="516">
        <f t="shared" si="44"/>
        <v>0</v>
      </c>
      <c r="AQ103" s="516">
        <f t="shared" si="44"/>
        <v>0</v>
      </c>
      <c r="AR103" s="516">
        <f t="shared" si="44"/>
        <v>0</v>
      </c>
      <c r="AS103" s="516">
        <f t="shared" si="44"/>
        <v>0</v>
      </c>
      <c r="AT103" s="516">
        <f t="shared" si="44"/>
        <v>0</v>
      </c>
      <c r="AU103" s="516">
        <f t="shared" si="44"/>
        <v>0</v>
      </c>
      <c r="AV103" s="516">
        <f t="shared" si="44"/>
        <v>0</v>
      </c>
      <c r="AW103" s="516">
        <f t="shared" si="44"/>
        <v>0</v>
      </c>
      <c r="AX103" s="516">
        <f t="shared" si="44"/>
        <v>0</v>
      </c>
      <c r="AY103" s="516">
        <f t="shared" si="44"/>
        <v>0</v>
      </c>
      <c r="AZ103" s="516">
        <f t="shared" si="44"/>
        <v>0</v>
      </c>
      <c r="BA103" s="516">
        <f t="shared" si="44"/>
        <v>0</v>
      </c>
      <c r="BB103" s="516">
        <f t="shared" si="44"/>
        <v>0</v>
      </c>
      <c r="BC103" s="516">
        <f t="shared" si="44"/>
        <v>0</v>
      </c>
      <c r="BD103" s="516">
        <f t="shared" si="44"/>
        <v>0</v>
      </c>
      <c r="BE103" s="516">
        <f t="shared" si="44"/>
        <v>0</v>
      </c>
      <c r="BF103" s="516">
        <f t="shared" si="44"/>
        <v>0</v>
      </c>
      <c r="BG103" s="516">
        <f t="shared" si="44"/>
        <v>0</v>
      </c>
      <c r="BH103" s="516">
        <f t="shared" si="44"/>
        <v>0</v>
      </c>
      <c r="BI103" s="516">
        <f t="shared" si="44"/>
        <v>0</v>
      </c>
      <c r="BJ103" s="516">
        <f t="shared" si="44"/>
        <v>0</v>
      </c>
      <c r="BK103" s="516">
        <f t="shared" si="44"/>
        <v>0</v>
      </c>
      <c r="BL103" s="516">
        <f t="shared" si="44"/>
        <v>0</v>
      </c>
      <c r="BM103" s="516">
        <f t="shared" si="44"/>
        <v>0</v>
      </c>
      <c r="BN103" s="516">
        <f t="shared" si="44"/>
        <v>0</v>
      </c>
      <c r="BO103" s="516">
        <f t="shared" si="44"/>
        <v>0</v>
      </c>
      <c r="BP103" s="516">
        <f t="shared" si="44"/>
        <v>0</v>
      </c>
      <c r="BQ103" s="516">
        <f t="shared" si="44"/>
        <v>0</v>
      </c>
      <c r="BR103" s="516">
        <f t="shared" si="44"/>
        <v>0</v>
      </c>
      <c r="BS103" s="516">
        <f t="shared" si="44"/>
        <v>0</v>
      </c>
      <c r="BT103" s="516">
        <f t="shared" si="44"/>
        <v>0</v>
      </c>
      <c r="BU103" s="516">
        <f t="shared" si="44"/>
        <v>0</v>
      </c>
      <c r="BV103" s="516">
        <f t="shared" si="44"/>
        <v>0</v>
      </c>
      <c r="BW103" s="516">
        <f t="shared" si="44"/>
        <v>0</v>
      </c>
      <c r="BX103" s="516" t="e">
        <f>BX111+BX159+BX99</f>
        <v>#REF!</v>
      </c>
      <c r="BY103" s="336"/>
      <c r="BZ103" s="268"/>
      <c r="CA103" s="268"/>
      <c r="CB103" s="268"/>
      <c r="CC103" s="268"/>
      <c r="CD103" s="268"/>
      <c r="CE103" s="268"/>
      <c r="CF103" s="268"/>
      <c r="CG103" s="268"/>
      <c r="CH103" s="268"/>
      <c r="CI103" s="268"/>
      <c r="CJ103" s="268"/>
      <c r="CK103" s="268"/>
      <c r="CL103" s="268"/>
      <c r="CM103" s="268"/>
      <c r="CN103" s="268"/>
      <c r="CO103" s="268"/>
      <c r="CP103" s="268"/>
      <c r="CQ103" s="268"/>
      <c r="CR103" s="268"/>
      <c r="CS103" s="268"/>
      <c r="CT103" s="268"/>
      <c r="CU103" s="268"/>
      <c r="CV103" s="268"/>
      <c r="CW103" s="268"/>
      <c r="CX103" s="268"/>
      <c r="CY103" s="268"/>
      <c r="CZ103" s="268"/>
      <c r="DA103" s="268"/>
      <c r="DB103" s="268"/>
      <c r="DC103" s="268"/>
      <c r="DD103" s="268"/>
      <c r="DE103" s="268"/>
      <c r="DF103" s="268"/>
      <c r="DG103" s="268"/>
      <c r="DH103" s="268"/>
      <c r="DI103" s="268"/>
      <c r="DJ103" s="268"/>
      <c r="DK103" s="268"/>
      <c r="DL103" s="268"/>
      <c r="DM103" s="268"/>
      <c r="DN103" s="268"/>
      <c r="DO103" s="268"/>
      <c r="DP103" s="268"/>
      <c r="DQ103" s="268"/>
      <c r="DR103" s="268"/>
      <c r="DS103" s="268"/>
      <c r="DT103" s="268"/>
      <c r="DU103" s="268"/>
      <c r="DV103" s="268"/>
      <c r="DW103" s="268"/>
      <c r="DX103" s="268"/>
      <c r="DY103" s="268"/>
      <c r="DZ103" s="268"/>
      <c r="EA103" s="268"/>
      <c r="EB103" s="268"/>
      <c r="EC103" s="268"/>
      <c r="ED103" s="268"/>
      <c r="EE103" s="268"/>
      <c r="EF103" s="268"/>
      <c r="EG103" s="268"/>
      <c r="EH103" s="268"/>
    </row>
    <row r="104" spans="1:138">
      <c r="A104" s="268"/>
      <c r="B104" s="268"/>
      <c r="C104" s="517" t="s">
        <v>329</v>
      </c>
      <c r="D104" s="573" t="e">
        <f>IRR(E103:BX103)*12</f>
        <v>#VALUE!</v>
      </c>
      <c r="E104" s="608"/>
      <c r="F104" s="268"/>
      <c r="G104" s="268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8"/>
      <c r="S104" s="268"/>
      <c r="T104" s="268"/>
      <c r="U104" s="268"/>
      <c r="V104" s="268"/>
      <c r="W104" s="268"/>
      <c r="X104" s="268"/>
      <c r="Y104" s="268"/>
      <c r="Z104" s="268"/>
      <c r="AA104" s="268"/>
      <c r="AB104" s="268"/>
      <c r="AC104" s="268"/>
      <c r="AD104" s="268"/>
      <c r="AE104" s="268"/>
      <c r="AF104" s="268"/>
      <c r="AG104" s="268"/>
      <c r="AH104" s="268"/>
      <c r="AI104" s="268"/>
      <c r="AJ104" s="268"/>
      <c r="AK104" s="268"/>
      <c r="AL104" s="268"/>
      <c r="AM104" s="268"/>
      <c r="AN104" s="268"/>
      <c r="AO104" s="268"/>
      <c r="AP104" s="268"/>
      <c r="AQ104" s="268"/>
      <c r="AR104" s="268"/>
      <c r="AS104" s="268"/>
      <c r="AT104" s="268"/>
      <c r="AU104" s="268"/>
      <c r="AV104" s="268"/>
      <c r="AW104" s="268"/>
      <c r="AX104" s="268"/>
      <c r="AY104" s="268"/>
      <c r="AZ104" s="268"/>
      <c r="BA104" s="268"/>
      <c r="BB104" s="268"/>
      <c r="BC104" s="268"/>
      <c r="BD104" s="268"/>
      <c r="BE104" s="268"/>
      <c r="BF104" s="268"/>
      <c r="BG104" s="268"/>
      <c r="BH104" s="268"/>
      <c r="BI104" s="268"/>
      <c r="BJ104" s="268"/>
      <c r="BK104" s="268"/>
      <c r="BL104" s="268"/>
      <c r="BM104" s="268"/>
      <c r="BN104" s="268"/>
      <c r="BO104" s="268"/>
      <c r="BP104" s="268"/>
      <c r="BQ104" s="268"/>
      <c r="BR104" s="268"/>
      <c r="BS104" s="268"/>
      <c r="BT104" s="268"/>
      <c r="BU104" s="268"/>
      <c r="BV104" s="268"/>
      <c r="BW104" s="268"/>
      <c r="BX104" s="268"/>
      <c r="BY104" s="336"/>
      <c r="BZ104" s="268"/>
      <c r="CA104" s="268"/>
      <c r="CB104" s="268"/>
      <c r="CC104" s="268"/>
      <c r="CD104" s="268"/>
      <c r="CE104" s="268"/>
      <c r="CF104" s="268"/>
      <c r="CG104" s="268"/>
      <c r="CH104" s="268"/>
      <c r="CI104" s="268"/>
      <c r="CJ104" s="268"/>
      <c r="CK104" s="268"/>
      <c r="CL104" s="268"/>
      <c r="CM104" s="268"/>
      <c r="CN104" s="268"/>
      <c r="CO104" s="268"/>
      <c r="CP104" s="268"/>
      <c r="CQ104" s="268"/>
      <c r="CR104" s="268"/>
      <c r="CS104" s="268"/>
      <c r="CT104" s="268"/>
      <c r="CU104" s="268"/>
      <c r="CV104" s="268"/>
      <c r="CW104" s="268"/>
      <c r="CX104" s="268"/>
      <c r="CY104" s="268"/>
      <c r="CZ104" s="268"/>
      <c r="DA104" s="268"/>
      <c r="DB104" s="268"/>
      <c r="DC104" s="268"/>
      <c r="DD104" s="268"/>
      <c r="DE104" s="268"/>
      <c r="DF104" s="268"/>
      <c r="DG104" s="268"/>
      <c r="DH104" s="268"/>
      <c r="DI104" s="268"/>
      <c r="DJ104" s="268"/>
      <c r="DK104" s="268"/>
      <c r="DL104" s="268"/>
      <c r="DM104" s="268"/>
      <c r="DN104" s="268"/>
      <c r="DO104" s="268"/>
      <c r="DP104" s="268"/>
      <c r="DQ104" s="268"/>
      <c r="DR104" s="268"/>
      <c r="DS104" s="268"/>
      <c r="DT104" s="268"/>
      <c r="DU104" s="268"/>
      <c r="DV104" s="268"/>
      <c r="DW104" s="268"/>
      <c r="DX104" s="268"/>
      <c r="DY104" s="268"/>
      <c r="DZ104" s="268"/>
      <c r="EA104" s="268"/>
      <c r="EB104" s="268"/>
      <c r="EC104" s="268"/>
      <c r="ED104" s="268"/>
      <c r="EE104" s="268"/>
      <c r="EF104" s="268"/>
      <c r="EG104" s="268"/>
      <c r="EH104" s="268"/>
    </row>
    <row r="105" spans="1:138">
      <c r="A105" s="268"/>
      <c r="B105" s="268"/>
      <c r="C105" s="268"/>
      <c r="D105" s="268"/>
      <c r="E105" s="268"/>
      <c r="F105" s="268"/>
      <c r="G105" s="268"/>
      <c r="H105" s="268"/>
      <c r="I105" s="268"/>
      <c r="J105" s="268"/>
      <c r="K105" s="268"/>
      <c r="L105" s="268"/>
      <c r="M105" s="268"/>
      <c r="N105" s="268"/>
      <c r="O105" s="268"/>
      <c r="P105" s="268"/>
      <c r="Q105" s="268"/>
      <c r="R105" s="268"/>
      <c r="S105" s="268"/>
      <c r="T105" s="268"/>
      <c r="U105" s="268"/>
      <c r="V105" s="268"/>
      <c r="W105" s="268"/>
      <c r="X105" s="268"/>
      <c r="Y105" s="268"/>
      <c r="Z105" s="268"/>
      <c r="AA105" s="268"/>
      <c r="AB105" s="268"/>
      <c r="AC105" s="268"/>
      <c r="AD105" s="268"/>
      <c r="AE105" s="268"/>
      <c r="AF105" s="268"/>
      <c r="AG105" s="268"/>
      <c r="AH105" s="268"/>
      <c r="AI105" s="268"/>
      <c r="AJ105" s="268"/>
      <c r="AK105" s="268"/>
      <c r="AL105" s="268"/>
      <c r="AM105" s="268"/>
      <c r="AN105" s="268"/>
      <c r="AO105" s="268"/>
      <c r="AP105" s="268"/>
      <c r="AQ105" s="268"/>
      <c r="AR105" s="268"/>
      <c r="AS105" s="268"/>
      <c r="AT105" s="268"/>
      <c r="AU105" s="268"/>
      <c r="AV105" s="268"/>
      <c r="AW105" s="268"/>
      <c r="AX105" s="268"/>
      <c r="AY105" s="268"/>
      <c r="AZ105" s="268"/>
      <c r="BA105" s="268"/>
      <c r="BB105" s="268"/>
      <c r="BC105" s="268"/>
      <c r="BD105" s="268"/>
      <c r="BE105" s="268"/>
      <c r="BF105" s="268"/>
      <c r="BG105" s="268"/>
      <c r="BH105" s="268"/>
      <c r="BI105" s="268"/>
      <c r="BJ105" s="268"/>
      <c r="BK105" s="268"/>
      <c r="BL105" s="268"/>
      <c r="BM105" s="268"/>
      <c r="BN105" s="268"/>
      <c r="BO105" s="268"/>
      <c r="BP105" s="268"/>
      <c r="BQ105" s="268"/>
      <c r="BR105" s="268"/>
      <c r="BS105" s="268"/>
      <c r="BT105" s="268"/>
      <c r="BU105" s="268"/>
      <c r="BV105" s="268"/>
      <c r="BW105" s="268"/>
      <c r="BX105" s="268"/>
      <c r="BY105" s="336"/>
      <c r="BZ105" s="268"/>
      <c r="CA105" s="268"/>
      <c r="CB105" s="268"/>
      <c r="CC105" s="268"/>
      <c r="CD105" s="268"/>
      <c r="CE105" s="268"/>
      <c r="CF105" s="268"/>
      <c r="CG105" s="268"/>
      <c r="CH105" s="268"/>
      <c r="CI105" s="268"/>
      <c r="CJ105" s="268"/>
      <c r="CK105" s="268"/>
      <c r="CL105" s="268"/>
      <c r="CM105" s="268"/>
      <c r="CN105" s="268"/>
      <c r="CO105" s="268"/>
      <c r="CP105" s="268"/>
      <c r="CQ105" s="268"/>
      <c r="CR105" s="268"/>
      <c r="CS105" s="268"/>
      <c r="CT105" s="268"/>
      <c r="CU105" s="268"/>
      <c r="CV105" s="268"/>
      <c r="CW105" s="268"/>
      <c r="CX105" s="268"/>
      <c r="CY105" s="268"/>
      <c r="CZ105" s="268"/>
      <c r="DA105" s="268"/>
      <c r="DB105" s="268"/>
      <c r="DC105" s="268"/>
      <c r="DD105" s="268"/>
      <c r="DE105" s="268"/>
      <c r="DF105" s="268"/>
      <c r="DG105" s="268"/>
      <c r="DH105" s="268"/>
      <c r="DI105" s="268"/>
      <c r="DJ105" s="268"/>
      <c r="DK105" s="268"/>
      <c r="DL105" s="268"/>
      <c r="DM105" s="268"/>
      <c r="DN105" s="268"/>
      <c r="DO105" s="268"/>
      <c r="DP105" s="268"/>
      <c r="DQ105" s="268"/>
      <c r="DR105" s="268"/>
      <c r="DS105" s="268"/>
      <c r="DT105" s="268"/>
      <c r="DU105" s="268"/>
      <c r="DV105" s="268"/>
      <c r="DW105" s="268"/>
      <c r="DX105" s="268"/>
      <c r="DY105" s="268"/>
      <c r="DZ105" s="268"/>
      <c r="EA105" s="268"/>
      <c r="EB105" s="268"/>
      <c r="EC105" s="268"/>
      <c r="ED105" s="268"/>
      <c r="EE105" s="268"/>
      <c r="EF105" s="268"/>
      <c r="EG105" s="268"/>
      <c r="EH105" s="268"/>
    </row>
    <row r="106" spans="1:138">
      <c r="A106" s="268"/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  <c r="X106" s="268"/>
      <c r="Y106" s="268"/>
      <c r="Z106" s="268"/>
      <c r="AA106" s="268"/>
      <c r="AB106" s="268"/>
      <c r="AC106" s="268"/>
      <c r="AD106" s="268"/>
      <c r="AE106" s="268"/>
      <c r="AF106" s="268"/>
      <c r="AG106" s="268"/>
      <c r="AH106" s="268"/>
      <c r="AI106" s="268"/>
      <c r="AJ106" s="268"/>
      <c r="AK106" s="268"/>
      <c r="AL106" s="268"/>
      <c r="AM106" s="268"/>
      <c r="AN106" s="268"/>
      <c r="AO106" s="268"/>
      <c r="AP106" s="268"/>
      <c r="AQ106" s="268"/>
      <c r="AR106" s="268"/>
      <c r="AS106" s="268"/>
      <c r="AT106" s="268"/>
      <c r="AU106" s="268"/>
      <c r="AV106" s="268"/>
      <c r="AW106" s="268"/>
      <c r="AX106" s="268"/>
      <c r="AY106" s="268"/>
      <c r="AZ106" s="268"/>
      <c r="BA106" s="268"/>
      <c r="BB106" s="268"/>
      <c r="BC106" s="268"/>
      <c r="BD106" s="268"/>
      <c r="BE106" s="268"/>
      <c r="BF106" s="268"/>
      <c r="BG106" s="268"/>
      <c r="BH106" s="268"/>
      <c r="BI106" s="268"/>
      <c r="BJ106" s="268"/>
      <c r="BK106" s="268"/>
      <c r="BL106" s="268"/>
      <c r="BM106" s="268"/>
      <c r="BN106" s="268"/>
      <c r="BO106" s="268"/>
      <c r="BP106" s="268"/>
      <c r="BQ106" s="268"/>
      <c r="BR106" s="268"/>
      <c r="BS106" s="268"/>
      <c r="BT106" s="268"/>
      <c r="BU106" s="268"/>
      <c r="BV106" s="268"/>
      <c r="BW106" s="268"/>
      <c r="BX106" s="268"/>
      <c r="BY106" s="336"/>
      <c r="BZ106" s="268"/>
      <c r="CA106" s="268"/>
      <c r="CB106" s="268"/>
      <c r="CC106" s="268"/>
      <c r="CD106" s="268"/>
      <c r="CE106" s="268"/>
      <c r="CF106" s="268"/>
      <c r="CG106" s="268"/>
      <c r="CH106" s="268"/>
      <c r="CI106" s="268"/>
      <c r="CJ106" s="268"/>
      <c r="CK106" s="268"/>
      <c r="CL106" s="268"/>
      <c r="CM106" s="268"/>
      <c r="CN106" s="268"/>
      <c r="CO106" s="268"/>
      <c r="CP106" s="268"/>
      <c r="CQ106" s="268"/>
      <c r="CR106" s="268"/>
      <c r="CS106" s="268"/>
      <c r="CT106" s="268"/>
      <c r="CU106" s="268"/>
      <c r="CV106" s="268"/>
      <c r="CW106" s="268"/>
      <c r="CX106" s="268"/>
      <c r="CY106" s="268"/>
      <c r="CZ106" s="268"/>
      <c r="DA106" s="268"/>
      <c r="DB106" s="268"/>
      <c r="DC106" s="268"/>
      <c r="DD106" s="268"/>
      <c r="DE106" s="268"/>
      <c r="DF106" s="268"/>
      <c r="DG106" s="268"/>
      <c r="DH106" s="268"/>
      <c r="DI106" s="268"/>
      <c r="DJ106" s="268"/>
      <c r="DK106" s="268"/>
      <c r="DL106" s="268"/>
      <c r="DM106" s="268"/>
      <c r="DN106" s="268"/>
      <c r="DO106" s="268"/>
      <c r="DP106" s="268"/>
      <c r="DQ106" s="268"/>
      <c r="DR106" s="268"/>
      <c r="DS106" s="268"/>
      <c r="DT106" s="268"/>
      <c r="DU106" s="268"/>
      <c r="DV106" s="268"/>
      <c r="DW106" s="268"/>
      <c r="DX106" s="268"/>
      <c r="DY106" s="268"/>
      <c r="DZ106" s="268"/>
      <c r="EA106" s="268"/>
      <c r="EB106" s="268"/>
      <c r="EC106" s="268"/>
      <c r="ED106" s="268"/>
      <c r="EE106" s="268"/>
      <c r="EF106" s="268"/>
      <c r="EG106" s="268"/>
      <c r="EH106" s="268"/>
    </row>
    <row r="107" spans="1:138" ht="17.100000000000001">
      <c r="A107" s="268"/>
      <c r="B107" s="268"/>
      <c r="C107" s="339" t="s">
        <v>330</v>
      </c>
      <c r="D107" s="613"/>
      <c r="E107" s="607"/>
      <c r="F107" s="607"/>
      <c r="G107" s="607"/>
      <c r="H107" s="607"/>
      <c r="I107" s="607"/>
      <c r="J107" s="607"/>
      <c r="K107" s="607"/>
      <c r="L107" s="607"/>
      <c r="M107" s="607"/>
      <c r="N107" s="607"/>
      <c r="O107" s="607"/>
      <c r="P107" s="607"/>
      <c r="Q107" s="607"/>
      <c r="R107" s="607"/>
      <c r="S107" s="607"/>
      <c r="T107" s="607"/>
      <c r="U107" s="607"/>
      <c r="V107" s="607"/>
      <c r="W107" s="607"/>
      <c r="X107" s="607"/>
      <c r="Y107" s="607"/>
      <c r="Z107" s="607"/>
      <c r="AA107" s="607"/>
      <c r="AB107" s="607"/>
      <c r="AC107" s="607"/>
      <c r="AD107" s="607"/>
      <c r="AE107" s="607"/>
      <c r="AF107" s="607"/>
      <c r="AG107" s="607"/>
      <c r="AH107" s="607"/>
      <c r="AI107" s="607"/>
      <c r="AJ107" s="607"/>
      <c r="AK107" s="607"/>
      <c r="AL107" s="607"/>
      <c r="AM107" s="607"/>
      <c r="AN107" s="607"/>
      <c r="AO107" s="607"/>
      <c r="AP107" s="607"/>
      <c r="AQ107" s="607"/>
      <c r="AR107" s="607"/>
      <c r="AS107" s="607"/>
      <c r="AT107" s="607"/>
      <c r="AU107" s="607"/>
      <c r="AV107" s="607"/>
      <c r="AW107" s="607"/>
      <c r="AX107" s="607"/>
      <c r="AY107" s="607"/>
      <c r="AZ107" s="607"/>
      <c r="BA107" s="607"/>
      <c r="BB107" s="607"/>
      <c r="BC107" s="607"/>
      <c r="BD107" s="607"/>
      <c r="BE107" s="607"/>
      <c r="BF107" s="607"/>
      <c r="BG107" s="607"/>
      <c r="BH107" s="607"/>
      <c r="BI107" s="607"/>
      <c r="BJ107" s="607"/>
      <c r="BK107" s="607"/>
      <c r="BL107" s="607"/>
      <c r="BM107" s="607"/>
      <c r="BN107" s="607"/>
      <c r="BO107" s="607"/>
      <c r="BP107" s="607"/>
      <c r="BQ107" s="607"/>
      <c r="BR107" s="607"/>
      <c r="BS107" s="607"/>
      <c r="BT107" s="607"/>
      <c r="BU107" s="607"/>
      <c r="BV107" s="607"/>
      <c r="BW107" s="608"/>
      <c r="BX107" s="518" t="e">
        <f>BX99*C108</f>
        <v>#REF!</v>
      </c>
      <c r="BY107" s="336"/>
      <c r="BZ107" s="268"/>
      <c r="CA107" s="268"/>
      <c r="CB107" s="268"/>
      <c r="CC107" s="268"/>
      <c r="CD107" s="268"/>
      <c r="CE107" s="268"/>
      <c r="CF107" s="268"/>
      <c r="CG107" s="268"/>
      <c r="CH107" s="268"/>
      <c r="CI107" s="268"/>
      <c r="CJ107" s="268"/>
      <c r="CK107" s="268"/>
      <c r="CL107" s="268"/>
      <c r="CM107" s="268"/>
      <c r="CN107" s="268"/>
      <c r="CO107" s="268"/>
      <c r="CP107" s="268"/>
      <c r="CQ107" s="268"/>
      <c r="CR107" s="268"/>
      <c r="CS107" s="268"/>
      <c r="CT107" s="268"/>
      <c r="CU107" s="268"/>
      <c r="CV107" s="268"/>
      <c r="CW107" s="268"/>
      <c r="CX107" s="268"/>
      <c r="CY107" s="268"/>
      <c r="CZ107" s="268"/>
      <c r="DA107" s="268"/>
      <c r="DB107" s="268"/>
      <c r="DC107" s="268"/>
      <c r="DD107" s="268"/>
      <c r="DE107" s="268"/>
      <c r="DF107" s="268"/>
      <c r="DG107" s="268"/>
      <c r="DH107" s="268"/>
      <c r="DI107" s="268"/>
      <c r="DJ107" s="268"/>
      <c r="DK107" s="268"/>
      <c r="DL107" s="268"/>
      <c r="DM107" s="268"/>
      <c r="DN107" s="268"/>
      <c r="DO107" s="268"/>
      <c r="DP107" s="268"/>
      <c r="DQ107" s="268"/>
      <c r="DR107" s="268"/>
      <c r="DS107" s="268"/>
      <c r="DT107" s="268"/>
      <c r="DU107" s="268"/>
      <c r="DV107" s="268"/>
      <c r="DW107" s="268"/>
      <c r="DX107" s="268"/>
      <c r="DY107" s="268"/>
      <c r="DZ107" s="268"/>
      <c r="EA107" s="268"/>
      <c r="EB107" s="268"/>
      <c r="EC107" s="268"/>
      <c r="ED107" s="268"/>
      <c r="EE107" s="268"/>
      <c r="EF107" s="268"/>
      <c r="EG107" s="268"/>
      <c r="EH107" s="268"/>
    </row>
    <row r="108" spans="1:138" ht="18.95">
      <c r="A108" s="268"/>
      <c r="B108" s="268"/>
      <c r="C108" s="519">
        <v>0.2</v>
      </c>
      <c r="D108" s="268"/>
      <c r="E108" s="268"/>
      <c r="F108" s="268"/>
      <c r="G108" s="268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8"/>
      <c r="S108" s="268"/>
      <c r="T108" s="268"/>
      <c r="U108" s="268"/>
      <c r="V108" s="268"/>
      <c r="W108" s="268"/>
      <c r="X108" s="268"/>
      <c r="Y108" s="268"/>
      <c r="Z108" s="268"/>
      <c r="AA108" s="268"/>
      <c r="AB108" s="268"/>
      <c r="AC108" s="268"/>
      <c r="AD108" s="268"/>
      <c r="AE108" s="268"/>
      <c r="AF108" s="268"/>
      <c r="AG108" s="268"/>
      <c r="AH108" s="268"/>
      <c r="AI108" s="268"/>
      <c r="AJ108" s="268"/>
      <c r="AK108" s="268"/>
      <c r="AL108" s="268"/>
      <c r="AM108" s="268"/>
      <c r="AN108" s="268"/>
      <c r="AO108" s="268"/>
      <c r="AP108" s="268"/>
      <c r="AQ108" s="268"/>
      <c r="AR108" s="268"/>
      <c r="AS108" s="268"/>
      <c r="AT108" s="268"/>
      <c r="AU108" s="268"/>
      <c r="AV108" s="268"/>
      <c r="AW108" s="268"/>
      <c r="AX108" s="268"/>
      <c r="AY108" s="268"/>
      <c r="AZ108" s="268"/>
      <c r="BA108" s="268"/>
      <c r="BB108" s="268"/>
      <c r="BC108" s="268"/>
      <c r="BD108" s="268"/>
      <c r="BE108" s="268"/>
      <c r="BF108" s="268"/>
      <c r="BG108" s="268"/>
      <c r="BH108" s="268"/>
      <c r="BI108" s="268"/>
      <c r="BJ108" s="268"/>
      <c r="BK108" s="268"/>
      <c r="BL108" s="268"/>
      <c r="BM108" s="268"/>
      <c r="BN108" s="268"/>
      <c r="BO108" s="268"/>
      <c r="BP108" s="268"/>
      <c r="BQ108" s="268"/>
      <c r="BR108" s="268"/>
      <c r="BS108" s="268"/>
      <c r="BT108" s="268"/>
      <c r="BU108" s="268"/>
      <c r="BV108" s="268"/>
      <c r="BW108" s="268"/>
      <c r="BX108" s="268"/>
      <c r="BY108" s="336"/>
      <c r="BZ108" s="268"/>
      <c r="CA108" s="268"/>
      <c r="CB108" s="268"/>
      <c r="CC108" s="268"/>
      <c r="CD108" s="268"/>
      <c r="CE108" s="268"/>
      <c r="CF108" s="268"/>
      <c r="CG108" s="268"/>
      <c r="CH108" s="268"/>
      <c r="CI108" s="268"/>
      <c r="CJ108" s="268"/>
      <c r="CK108" s="268"/>
      <c r="CL108" s="268"/>
      <c r="CM108" s="268"/>
      <c r="CN108" s="268"/>
      <c r="CO108" s="268"/>
      <c r="CP108" s="268"/>
      <c r="CQ108" s="268"/>
      <c r="CR108" s="268"/>
      <c r="CS108" s="268"/>
      <c r="CT108" s="268"/>
      <c r="CU108" s="268"/>
      <c r="CV108" s="268"/>
      <c r="CW108" s="268"/>
      <c r="CX108" s="268"/>
      <c r="CY108" s="268"/>
      <c r="CZ108" s="268"/>
      <c r="DA108" s="268"/>
      <c r="DB108" s="268"/>
      <c r="DC108" s="268"/>
      <c r="DD108" s="268"/>
      <c r="DE108" s="268"/>
      <c r="DF108" s="268"/>
      <c r="DG108" s="268"/>
      <c r="DH108" s="268"/>
      <c r="DI108" s="268"/>
      <c r="DJ108" s="268"/>
      <c r="DK108" s="268"/>
      <c r="DL108" s="268"/>
      <c r="DM108" s="268"/>
      <c r="DN108" s="268"/>
      <c r="DO108" s="268"/>
      <c r="DP108" s="268"/>
      <c r="DQ108" s="268"/>
      <c r="DR108" s="268"/>
      <c r="DS108" s="268"/>
      <c r="DT108" s="268"/>
      <c r="DU108" s="268"/>
      <c r="DV108" s="268"/>
      <c r="DW108" s="268"/>
      <c r="DX108" s="268"/>
      <c r="DY108" s="268"/>
      <c r="DZ108" s="268"/>
      <c r="EA108" s="268"/>
      <c r="EB108" s="268"/>
      <c r="EC108" s="268"/>
      <c r="ED108" s="268"/>
      <c r="EE108" s="268"/>
      <c r="EF108" s="268"/>
      <c r="EG108" s="268"/>
      <c r="EH108" s="268"/>
    </row>
    <row r="109" spans="1:138">
      <c r="A109" s="268"/>
      <c r="B109" s="268"/>
      <c r="C109" s="268"/>
      <c r="D109" s="268"/>
      <c r="E109" s="268"/>
      <c r="F109" s="268"/>
      <c r="G109" s="268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8"/>
      <c r="S109" s="268"/>
      <c r="T109" s="268"/>
      <c r="U109" s="268"/>
      <c r="V109" s="268"/>
      <c r="W109" s="268"/>
      <c r="X109" s="268"/>
      <c r="Y109" s="268"/>
      <c r="Z109" s="268"/>
      <c r="AA109" s="268"/>
      <c r="AB109" s="268"/>
      <c r="AC109" s="268"/>
      <c r="AD109" s="268"/>
      <c r="AE109" s="268"/>
      <c r="AF109" s="268"/>
      <c r="AG109" s="268"/>
      <c r="AH109" s="268"/>
      <c r="AI109" s="268"/>
      <c r="AJ109" s="268"/>
      <c r="AK109" s="268"/>
      <c r="AL109" s="268"/>
      <c r="AM109" s="268"/>
      <c r="AN109" s="268"/>
      <c r="AO109" s="268"/>
      <c r="AP109" s="268"/>
      <c r="AQ109" s="268"/>
      <c r="AR109" s="268"/>
      <c r="AS109" s="268"/>
      <c r="AT109" s="268"/>
      <c r="AU109" s="268"/>
      <c r="AV109" s="268"/>
      <c r="AW109" s="268"/>
      <c r="AX109" s="268"/>
      <c r="AY109" s="268"/>
      <c r="AZ109" s="268"/>
      <c r="BA109" s="268"/>
      <c r="BB109" s="268"/>
      <c r="BC109" s="268"/>
      <c r="BD109" s="268"/>
      <c r="BE109" s="268"/>
      <c r="BF109" s="268"/>
      <c r="BG109" s="268"/>
      <c r="BH109" s="268"/>
      <c r="BI109" s="268"/>
      <c r="BJ109" s="268"/>
      <c r="BK109" s="268"/>
      <c r="BL109" s="268"/>
      <c r="BM109" s="268"/>
      <c r="BN109" s="268"/>
      <c r="BO109" s="268"/>
      <c r="BP109" s="268"/>
      <c r="BQ109" s="268"/>
      <c r="BR109" s="268"/>
      <c r="BS109" s="268"/>
      <c r="BT109" s="268"/>
      <c r="BU109" s="268"/>
      <c r="BV109" s="268"/>
      <c r="BW109" s="268"/>
      <c r="BX109" s="268"/>
      <c r="BY109" s="336"/>
      <c r="BZ109" s="268"/>
      <c r="CA109" s="268"/>
      <c r="CB109" s="268"/>
      <c r="CC109" s="268"/>
      <c r="CD109" s="268"/>
      <c r="CE109" s="268"/>
      <c r="CF109" s="268"/>
      <c r="CG109" s="268"/>
      <c r="CH109" s="268"/>
      <c r="CI109" s="268"/>
      <c r="CJ109" s="268"/>
      <c r="CK109" s="268"/>
      <c r="CL109" s="268"/>
      <c r="CM109" s="268"/>
      <c r="CN109" s="268"/>
      <c r="CO109" s="268"/>
      <c r="CP109" s="268"/>
      <c r="CQ109" s="268"/>
      <c r="CR109" s="268"/>
      <c r="CS109" s="268"/>
      <c r="CT109" s="268"/>
      <c r="CU109" s="268"/>
      <c r="CV109" s="268"/>
      <c r="CW109" s="268"/>
      <c r="CX109" s="268"/>
      <c r="CY109" s="268"/>
      <c r="CZ109" s="268"/>
      <c r="DA109" s="268"/>
      <c r="DB109" s="268"/>
      <c r="DC109" s="268"/>
      <c r="DD109" s="268"/>
      <c r="DE109" s="268"/>
      <c r="DF109" s="268"/>
      <c r="DG109" s="268"/>
      <c r="DH109" s="268"/>
      <c r="DI109" s="268"/>
      <c r="DJ109" s="268"/>
      <c r="DK109" s="268"/>
      <c r="DL109" s="268"/>
      <c r="DM109" s="268"/>
      <c r="DN109" s="268"/>
      <c r="DO109" s="268"/>
      <c r="DP109" s="268"/>
      <c r="DQ109" s="268"/>
      <c r="DR109" s="268"/>
      <c r="DS109" s="268"/>
      <c r="DT109" s="268"/>
      <c r="DU109" s="268"/>
      <c r="DV109" s="268"/>
      <c r="DW109" s="268"/>
      <c r="DX109" s="268"/>
      <c r="DY109" s="268"/>
      <c r="DZ109" s="268"/>
      <c r="EA109" s="268"/>
      <c r="EB109" s="268"/>
      <c r="EC109" s="268"/>
      <c r="ED109" s="268"/>
      <c r="EE109" s="268"/>
      <c r="EF109" s="268"/>
      <c r="EG109" s="268"/>
      <c r="EH109" s="268"/>
    </row>
    <row r="110" spans="1:138">
      <c r="A110" s="268"/>
      <c r="B110" s="268"/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341"/>
      <c r="BE110" s="341"/>
      <c r="BF110" s="341"/>
      <c r="BG110" s="341"/>
      <c r="BH110" s="341"/>
      <c r="BI110" s="341"/>
      <c r="BJ110" s="341"/>
      <c r="BK110" s="341"/>
      <c r="BL110" s="341"/>
      <c r="BM110" s="268"/>
      <c r="BN110" s="268"/>
      <c r="BO110" s="268"/>
      <c r="BP110" s="268"/>
      <c r="BQ110" s="268"/>
      <c r="BR110" s="268"/>
      <c r="BS110" s="268"/>
      <c r="BT110" s="268"/>
      <c r="BU110" s="268"/>
      <c r="BV110" s="268"/>
      <c r="BW110" s="268"/>
      <c r="BX110" s="268"/>
      <c r="BY110" s="268"/>
      <c r="BZ110" s="268"/>
      <c r="CA110" s="268"/>
      <c r="CB110" s="268"/>
      <c r="CC110" s="268"/>
      <c r="CD110" s="268"/>
      <c r="CE110" s="268"/>
      <c r="CF110" s="268"/>
      <c r="CG110" s="268"/>
      <c r="CH110" s="268"/>
      <c r="CI110" s="268"/>
      <c r="CJ110" s="268"/>
      <c r="CK110" s="268"/>
      <c r="CL110" s="268"/>
      <c r="CM110" s="268"/>
      <c r="CN110" s="268"/>
      <c r="CO110" s="268"/>
      <c r="CP110" s="268"/>
      <c r="CQ110" s="268"/>
      <c r="CR110" s="268"/>
      <c r="CS110" s="268"/>
      <c r="CT110" s="268"/>
      <c r="CU110" s="268"/>
      <c r="CV110" s="268"/>
      <c r="CW110" s="268"/>
      <c r="CX110" s="268"/>
      <c r="CY110" s="268"/>
      <c r="CZ110" s="268"/>
      <c r="DA110" s="268"/>
      <c r="DB110" s="268"/>
      <c r="DC110" s="268"/>
      <c r="DD110" s="268"/>
      <c r="DE110" s="268"/>
      <c r="DF110" s="268"/>
      <c r="DG110" s="268"/>
      <c r="DH110" s="268"/>
      <c r="DI110" s="268"/>
      <c r="DJ110" s="268"/>
      <c r="DK110" s="268"/>
      <c r="DL110" s="268"/>
      <c r="DM110" s="268"/>
      <c r="DN110" s="268"/>
      <c r="DO110" s="268"/>
      <c r="DP110" s="268"/>
      <c r="DQ110" s="268"/>
      <c r="DR110" s="268"/>
      <c r="DS110" s="268"/>
      <c r="DT110" s="268"/>
      <c r="DU110" s="268"/>
      <c r="DV110" s="268"/>
      <c r="DW110" s="268"/>
      <c r="DX110" s="268"/>
      <c r="DY110" s="268"/>
      <c r="DZ110" s="268"/>
      <c r="EA110" s="268"/>
      <c r="EB110" s="268"/>
      <c r="EC110" s="268"/>
      <c r="ED110" s="268"/>
      <c r="EE110" s="268"/>
      <c r="EF110" s="268"/>
      <c r="EG110" s="268"/>
      <c r="EH110" s="268"/>
    </row>
    <row r="111" spans="1:138">
      <c r="A111" s="268"/>
      <c r="B111" s="342"/>
      <c r="C111" s="339" t="s">
        <v>331</v>
      </c>
      <c r="D111" s="515"/>
      <c r="E111" s="516">
        <f t="shared" ref="E111:O111" si="45">-(E5+E90)</f>
        <v>0</v>
      </c>
      <c r="F111" s="516">
        <f t="shared" si="45"/>
        <v>0</v>
      </c>
      <c r="G111" s="516">
        <f t="shared" si="45"/>
        <v>0</v>
      </c>
      <c r="H111" s="516">
        <f t="shared" si="45"/>
        <v>0</v>
      </c>
      <c r="I111" s="516">
        <f t="shared" si="45"/>
        <v>0</v>
      </c>
      <c r="J111" s="516">
        <f t="shared" si="45"/>
        <v>0</v>
      </c>
      <c r="K111" s="516">
        <f t="shared" si="45"/>
        <v>0</v>
      </c>
      <c r="L111" s="516">
        <f t="shared" si="45"/>
        <v>0</v>
      </c>
      <c r="M111" s="516">
        <f t="shared" si="45"/>
        <v>0</v>
      </c>
      <c r="N111" s="516">
        <f t="shared" si="45"/>
        <v>0</v>
      </c>
      <c r="O111" s="516">
        <f t="shared" si="45"/>
        <v>0</v>
      </c>
      <c r="P111" s="516">
        <f>-(P5+P6+P90+P91)</f>
        <v>0</v>
      </c>
      <c r="Q111" s="516">
        <f t="shared" ref="Q111:BX111" si="46">-(Q5+Q90)</f>
        <v>0</v>
      </c>
      <c r="R111" s="516">
        <f t="shared" si="46"/>
        <v>0</v>
      </c>
      <c r="S111" s="516">
        <f t="shared" si="46"/>
        <v>0</v>
      </c>
      <c r="T111" s="516">
        <f t="shared" si="46"/>
        <v>0</v>
      </c>
      <c r="U111" s="516">
        <f t="shared" si="46"/>
        <v>0</v>
      </c>
      <c r="V111" s="516">
        <f t="shared" si="46"/>
        <v>0</v>
      </c>
      <c r="W111" s="516">
        <f t="shared" si="46"/>
        <v>0</v>
      </c>
      <c r="X111" s="516">
        <f t="shared" si="46"/>
        <v>0</v>
      </c>
      <c r="Y111" s="516">
        <f t="shared" si="46"/>
        <v>0</v>
      </c>
      <c r="Z111" s="516">
        <f t="shared" si="46"/>
        <v>0</v>
      </c>
      <c r="AA111" s="516">
        <f t="shared" si="46"/>
        <v>0</v>
      </c>
      <c r="AB111" s="516">
        <f t="shared" si="46"/>
        <v>0</v>
      </c>
      <c r="AC111" s="516">
        <f t="shared" si="46"/>
        <v>0</v>
      </c>
      <c r="AD111" s="516">
        <f t="shared" si="46"/>
        <v>0</v>
      </c>
      <c r="AE111" s="516">
        <f t="shared" si="46"/>
        <v>0</v>
      </c>
      <c r="AF111" s="516">
        <f t="shared" si="46"/>
        <v>0</v>
      </c>
      <c r="AG111" s="516">
        <f t="shared" si="46"/>
        <v>0</v>
      </c>
      <c r="AH111" s="516">
        <f t="shared" si="46"/>
        <v>0</v>
      </c>
      <c r="AI111" s="516">
        <f t="shared" si="46"/>
        <v>0</v>
      </c>
      <c r="AJ111" s="516">
        <f t="shared" si="46"/>
        <v>0</v>
      </c>
      <c r="AK111" s="516">
        <f t="shared" si="46"/>
        <v>0</v>
      </c>
      <c r="AL111" s="516">
        <f t="shared" si="46"/>
        <v>0</v>
      </c>
      <c r="AM111" s="516">
        <f t="shared" si="46"/>
        <v>0</v>
      </c>
      <c r="AN111" s="516">
        <f t="shared" si="46"/>
        <v>0</v>
      </c>
      <c r="AO111" s="516">
        <f t="shared" si="46"/>
        <v>0</v>
      </c>
      <c r="AP111" s="516">
        <f t="shared" si="46"/>
        <v>0</v>
      </c>
      <c r="AQ111" s="516">
        <f t="shared" si="46"/>
        <v>0</v>
      </c>
      <c r="AR111" s="516">
        <f t="shared" si="46"/>
        <v>0</v>
      </c>
      <c r="AS111" s="516">
        <f t="shared" si="46"/>
        <v>0</v>
      </c>
      <c r="AT111" s="516">
        <f t="shared" si="46"/>
        <v>0</v>
      </c>
      <c r="AU111" s="516">
        <f t="shared" si="46"/>
        <v>0</v>
      </c>
      <c r="AV111" s="516">
        <f t="shared" si="46"/>
        <v>0</v>
      </c>
      <c r="AW111" s="516">
        <f t="shared" si="46"/>
        <v>0</v>
      </c>
      <c r="AX111" s="516">
        <f t="shared" si="46"/>
        <v>0</v>
      </c>
      <c r="AY111" s="516">
        <f t="shared" si="46"/>
        <v>0</v>
      </c>
      <c r="AZ111" s="516">
        <f t="shared" si="46"/>
        <v>0</v>
      </c>
      <c r="BA111" s="516">
        <f t="shared" si="46"/>
        <v>0</v>
      </c>
      <c r="BB111" s="516">
        <f t="shared" si="46"/>
        <v>0</v>
      </c>
      <c r="BC111" s="516">
        <f t="shared" si="46"/>
        <v>0</v>
      </c>
      <c r="BD111" s="516">
        <f t="shared" si="46"/>
        <v>0</v>
      </c>
      <c r="BE111" s="516">
        <f t="shared" si="46"/>
        <v>0</v>
      </c>
      <c r="BF111" s="516">
        <f t="shared" si="46"/>
        <v>0</v>
      </c>
      <c r="BG111" s="516">
        <f t="shared" si="46"/>
        <v>0</v>
      </c>
      <c r="BH111" s="516">
        <f t="shared" si="46"/>
        <v>0</v>
      </c>
      <c r="BI111" s="516">
        <f t="shared" si="46"/>
        <v>0</v>
      </c>
      <c r="BJ111" s="516">
        <f t="shared" si="46"/>
        <v>0</v>
      </c>
      <c r="BK111" s="516">
        <f t="shared" si="46"/>
        <v>0</v>
      </c>
      <c r="BL111" s="516">
        <f t="shared" si="46"/>
        <v>0</v>
      </c>
      <c r="BM111" s="516">
        <f t="shared" si="46"/>
        <v>0</v>
      </c>
      <c r="BN111" s="516">
        <f t="shared" si="46"/>
        <v>0</v>
      </c>
      <c r="BO111" s="516">
        <f t="shared" si="46"/>
        <v>0</v>
      </c>
      <c r="BP111" s="516">
        <f t="shared" si="46"/>
        <v>0</v>
      </c>
      <c r="BQ111" s="516">
        <f t="shared" si="46"/>
        <v>0</v>
      </c>
      <c r="BR111" s="516">
        <f t="shared" si="46"/>
        <v>0</v>
      </c>
      <c r="BS111" s="516">
        <f t="shared" si="46"/>
        <v>0</v>
      </c>
      <c r="BT111" s="516">
        <f t="shared" si="46"/>
        <v>0</v>
      </c>
      <c r="BU111" s="516">
        <f t="shared" si="46"/>
        <v>0</v>
      </c>
      <c r="BV111" s="516">
        <f t="shared" si="46"/>
        <v>0</v>
      </c>
      <c r="BW111" s="516">
        <f t="shared" si="46"/>
        <v>0</v>
      </c>
      <c r="BX111" s="516">
        <f t="shared" si="46"/>
        <v>0</v>
      </c>
      <c r="BY111" s="268"/>
      <c r="BZ111" s="268"/>
      <c r="CA111" s="268"/>
      <c r="CB111" s="268"/>
      <c r="CC111" s="268"/>
      <c r="CD111" s="268"/>
      <c r="CE111" s="268"/>
      <c r="CF111" s="268"/>
      <c r="CG111" s="268"/>
      <c r="CH111" s="268"/>
      <c r="CI111" s="268"/>
      <c r="CJ111" s="268"/>
      <c r="CK111" s="268"/>
      <c r="CL111" s="268"/>
      <c r="CM111" s="268"/>
      <c r="CN111" s="268"/>
      <c r="CO111" s="268"/>
      <c r="CP111" s="268"/>
      <c r="CQ111" s="268"/>
      <c r="CR111" s="268"/>
      <c r="CS111" s="268"/>
      <c r="CT111" s="268"/>
      <c r="CU111" s="268"/>
      <c r="CV111" s="268"/>
      <c r="CW111" s="268"/>
      <c r="CX111" s="268"/>
      <c r="CY111" s="268"/>
      <c r="CZ111" s="268"/>
      <c r="DA111" s="268"/>
      <c r="DB111" s="268"/>
      <c r="DC111" s="268"/>
      <c r="DD111" s="268"/>
      <c r="DE111" s="268"/>
      <c r="DF111" s="268"/>
      <c r="DG111" s="268"/>
      <c r="DH111" s="268"/>
      <c r="DI111" s="268"/>
      <c r="DJ111" s="268"/>
      <c r="DK111" s="268"/>
      <c r="DL111" s="268"/>
      <c r="DM111" s="268"/>
      <c r="DN111" s="268"/>
      <c r="DO111" s="268"/>
      <c r="DP111" s="268"/>
      <c r="DQ111" s="268"/>
      <c r="DR111" s="268"/>
      <c r="DS111" s="268"/>
      <c r="DT111" s="268"/>
      <c r="DU111" s="268"/>
      <c r="DV111" s="268"/>
      <c r="DW111" s="268"/>
      <c r="DX111" s="268"/>
      <c r="DY111" s="268"/>
      <c r="DZ111" s="268"/>
      <c r="EA111" s="268"/>
      <c r="EB111" s="268"/>
      <c r="EC111" s="268"/>
      <c r="ED111" s="268"/>
      <c r="EE111" s="268"/>
      <c r="EF111" s="268"/>
      <c r="EG111" s="268"/>
      <c r="EH111" s="268"/>
    </row>
    <row r="112" spans="1:138">
      <c r="A112" s="268"/>
      <c r="B112" s="342"/>
      <c r="C112" s="339" t="s">
        <v>332</v>
      </c>
      <c r="D112" s="520"/>
      <c r="E112" s="515"/>
      <c r="F112" s="515"/>
      <c r="G112" s="515"/>
      <c r="H112" s="515"/>
      <c r="I112" s="515"/>
      <c r="J112" s="515"/>
      <c r="K112" s="515"/>
      <c r="L112" s="515"/>
      <c r="M112" s="515"/>
      <c r="N112" s="515"/>
      <c r="O112" s="515"/>
      <c r="P112" s="515"/>
      <c r="Q112" s="515"/>
      <c r="R112" s="515"/>
      <c r="S112" s="515"/>
      <c r="T112" s="515"/>
      <c r="U112" s="515"/>
      <c r="V112" s="515"/>
      <c r="W112" s="515"/>
      <c r="X112" s="515"/>
      <c r="Y112" s="515"/>
      <c r="Z112" s="515"/>
      <c r="AA112" s="515"/>
      <c r="AB112" s="515"/>
      <c r="AC112" s="515"/>
      <c r="AD112" s="515"/>
      <c r="AE112" s="515"/>
      <c r="AF112" s="515"/>
      <c r="AG112" s="515"/>
      <c r="AH112" s="515"/>
      <c r="AI112" s="515"/>
      <c r="AJ112" s="515"/>
      <c r="AK112" s="515"/>
      <c r="AL112" s="515"/>
      <c r="AM112" s="515"/>
      <c r="AN112" s="515"/>
      <c r="AO112" s="515"/>
      <c r="AP112" s="515"/>
      <c r="AQ112" s="515"/>
      <c r="AR112" s="515"/>
      <c r="AS112" s="515"/>
      <c r="AT112" s="515"/>
      <c r="AU112" s="515"/>
      <c r="AV112" s="515"/>
      <c r="AW112" s="515"/>
      <c r="AX112" s="515"/>
      <c r="AY112" s="515"/>
      <c r="AZ112" s="515"/>
      <c r="BA112" s="515"/>
      <c r="BB112" s="515"/>
      <c r="BC112" s="515"/>
      <c r="BD112" s="515"/>
      <c r="BE112" s="515"/>
      <c r="BF112" s="515"/>
      <c r="BG112" s="515"/>
      <c r="BH112" s="515"/>
      <c r="BI112" s="515"/>
      <c r="BJ112" s="515"/>
      <c r="BK112" s="515"/>
      <c r="BL112" s="515"/>
      <c r="BM112" s="515"/>
      <c r="BN112" s="515"/>
      <c r="BO112" s="515"/>
      <c r="BP112" s="515"/>
      <c r="BQ112" s="515"/>
      <c r="BR112" s="515"/>
      <c r="BS112" s="515"/>
      <c r="BT112" s="515"/>
      <c r="BU112" s="515"/>
      <c r="BV112" s="515"/>
      <c r="BW112" s="515"/>
      <c r="BX112" s="515"/>
      <c r="BY112" s="268"/>
      <c r="BZ112" s="268"/>
      <c r="CA112" s="268"/>
      <c r="CB112" s="268"/>
      <c r="CC112" s="268"/>
      <c r="CD112" s="268"/>
      <c r="CE112" s="268"/>
      <c r="CF112" s="268"/>
      <c r="CG112" s="268"/>
      <c r="CH112" s="268"/>
      <c r="CI112" s="268"/>
      <c r="CJ112" s="268"/>
      <c r="CK112" s="268"/>
      <c r="CL112" s="268"/>
      <c r="CM112" s="268"/>
      <c r="CN112" s="268"/>
      <c r="CO112" s="268"/>
      <c r="CP112" s="268"/>
      <c r="CQ112" s="268"/>
      <c r="CR112" s="268"/>
      <c r="CS112" s="268"/>
      <c r="CT112" s="268"/>
      <c r="CU112" s="268"/>
      <c r="CV112" s="268"/>
      <c r="CW112" s="268"/>
      <c r="CX112" s="268"/>
      <c r="CY112" s="268"/>
      <c r="CZ112" s="268"/>
      <c r="DA112" s="268"/>
      <c r="DB112" s="268"/>
      <c r="DC112" s="268"/>
      <c r="DD112" s="268"/>
      <c r="DE112" s="268"/>
      <c r="DF112" s="268"/>
      <c r="DG112" s="268"/>
      <c r="DH112" s="268"/>
      <c r="DI112" s="268"/>
      <c r="DJ112" s="268"/>
      <c r="DK112" s="268"/>
      <c r="DL112" s="268"/>
      <c r="DM112" s="268"/>
      <c r="DN112" s="268"/>
      <c r="DO112" s="268"/>
      <c r="DP112" s="268"/>
      <c r="DQ112" s="268"/>
      <c r="DR112" s="268"/>
      <c r="DS112" s="268"/>
      <c r="DT112" s="268"/>
      <c r="DU112" s="268"/>
      <c r="DV112" s="268"/>
      <c r="DW112" s="268"/>
      <c r="DX112" s="268"/>
      <c r="DY112" s="268"/>
      <c r="DZ112" s="268"/>
      <c r="EA112" s="268"/>
      <c r="EB112" s="268"/>
      <c r="EC112" s="268"/>
      <c r="ED112" s="268"/>
      <c r="EE112" s="268"/>
      <c r="EF112" s="268"/>
      <c r="EG112" s="268"/>
      <c r="EH112" s="268"/>
    </row>
    <row r="113" spans="1:138">
      <c r="A113" s="268"/>
      <c r="B113" s="342"/>
      <c r="C113" s="339" t="s">
        <v>333</v>
      </c>
      <c r="D113" s="520"/>
      <c r="E113" s="515">
        <f t="shared" ref="E113:BX113" si="47">-E55</f>
        <v>0</v>
      </c>
      <c r="F113" s="515">
        <f t="shared" si="47"/>
        <v>0</v>
      </c>
      <c r="G113" s="515">
        <f t="shared" si="47"/>
        <v>0</v>
      </c>
      <c r="H113" s="515">
        <f t="shared" si="47"/>
        <v>0</v>
      </c>
      <c r="I113" s="515">
        <f t="shared" si="47"/>
        <v>0</v>
      </c>
      <c r="J113" s="515">
        <f t="shared" si="47"/>
        <v>0</v>
      </c>
      <c r="K113" s="515">
        <f t="shared" si="47"/>
        <v>0</v>
      </c>
      <c r="L113" s="515">
        <f t="shared" si="47"/>
        <v>0</v>
      </c>
      <c r="M113" s="515">
        <f t="shared" si="47"/>
        <v>0</v>
      </c>
      <c r="N113" s="515">
        <f t="shared" si="47"/>
        <v>0</v>
      </c>
      <c r="O113" s="515">
        <f t="shared" si="47"/>
        <v>0</v>
      </c>
      <c r="P113" s="515">
        <f t="shared" si="47"/>
        <v>0</v>
      </c>
      <c r="Q113" s="515">
        <f t="shared" si="47"/>
        <v>0</v>
      </c>
      <c r="R113" s="515">
        <f t="shared" si="47"/>
        <v>0</v>
      </c>
      <c r="S113" s="515">
        <f t="shared" si="47"/>
        <v>0</v>
      </c>
      <c r="T113" s="515">
        <f t="shared" si="47"/>
        <v>0</v>
      </c>
      <c r="U113" s="515">
        <f t="shared" si="47"/>
        <v>0</v>
      </c>
      <c r="V113" s="515">
        <f t="shared" si="47"/>
        <v>0</v>
      </c>
      <c r="W113" s="515">
        <f t="shared" si="47"/>
        <v>0</v>
      </c>
      <c r="X113" s="515">
        <f t="shared" si="47"/>
        <v>0</v>
      </c>
      <c r="Y113" s="515">
        <f t="shared" si="47"/>
        <v>0</v>
      </c>
      <c r="Z113" s="515">
        <f t="shared" si="47"/>
        <v>0</v>
      </c>
      <c r="AA113" s="515">
        <f t="shared" si="47"/>
        <v>0</v>
      </c>
      <c r="AB113" s="515">
        <f t="shared" si="47"/>
        <v>0</v>
      </c>
      <c r="AC113" s="515">
        <f t="shared" si="47"/>
        <v>0</v>
      </c>
      <c r="AD113" s="515">
        <f t="shared" si="47"/>
        <v>0</v>
      </c>
      <c r="AE113" s="515">
        <f t="shared" si="47"/>
        <v>0</v>
      </c>
      <c r="AF113" s="515">
        <f t="shared" si="47"/>
        <v>0</v>
      </c>
      <c r="AG113" s="515">
        <f t="shared" si="47"/>
        <v>0</v>
      </c>
      <c r="AH113" s="515">
        <f t="shared" si="47"/>
        <v>0</v>
      </c>
      <c r="AI113" s="515">
        <f t="shared" si="47"/>
        <v>0</v>
      </c>
      <c r="AJ113" s="515">
        <f t="shared" si="47"/>
        <v>0</v>
      </c>
      <c r="AK113" s="515">
        <f t="shared" si="47"/>
        <v>0</v>
      </c>
      <c r="AL113" s="515">
        <f t="shared" si="47"/>
        <v>0</v>
      </c>
      <c r="AM113" s="515">
        <f t="shared" si="47"/>
        <v>0</v>
      </c>
      <c r="AN113" s="515">
        <f t="shared" si="47"/>
        <v>0</v>
      </c>
      <c r="AO113" s="515">
        <f t="shared" si="47"/>
        <v>0</v>
      </c>
      <c r="AP113" s="515">
        <f t="shared" si="47"/>
        <v>0</v>
      </c>
      <c r="AQ113" s="515">
        <f t="shared" si="47"/>
        <v>0</v>
      </c>
      <c r="AR113" s="515">
        <f t="shared" si="47"/>
        <v>0</v>
      </c>
      <c r="AS113" s="515">
        <f t="shared" si="47"/>
        <v>0</v>
      </c>
      <c r="AT113" s="515">
        <f t="shared" si="47"/>
        <v>0</v>
      </c>
      <c r="AU113" s="515">
        <f t="shared" si="47"/>
        <v>0</v>
      </c>
      <c r="AV113" s="515">
        <f t="shared" si="47"/>
        <v>0</v>
      </c>
      <c r="AW113" s="515">
        <f t="shared" si="47"/>
        <v>0</v>
      </c>
      <c r="AX113" s="515">
        <f t="shared" si="47"/>
        <v>0</v>
      </c>
      <c r="AY113" s="515">
        <f t="shared" si="47"/>
        <v>0</v>
      </c>
      <c r="AZ113" s="515">
        <f t="shared" si="47"/>
        <v>0</v>
      </c>
      <c r="BA113" s="515">
        <f t="shared" si="47"/>
        <v>0</v>
      </c>
      <c r="BB113" s="515">
        <f t="shared" si="47"/>
        <v>0</v>
      </c>
      <c r="BC113" s="515">
        <f t="shared" si="47"/>
        <v>0</v>
      </c>
      <c r="BD113" s="515">
        <f t="shared" si="47"/>
        <v>0</v>
      </c>
      <c r="BE113" s="515">
        <f t="shared" si="47"/>
        <v>0</v>
      </c>
      <c r="BF113" s="515">
        <f t="shared" si="47"/>
        <v>0</v>
      </c>
      <c r="BG113" s="515">
        <f t="shared" si="47"/>
        <v>0</v>
      </c>
      <c r="BH113" s="515">
        <f t="shared" si="47"/>
        <v>0</v>
      </c>
      <c r="BI113" s="515">
        <f t="shared" si="47"/>
        <v>0</v>
      </c>
      <c r="BJ113" s="515">
        <f t="shared" si="47"/>
        <v>0</v>
      </c>
      <c r="BK113" s="515">
        <f t="shared" si="47"/>
        <v>0</v>
      </c>
      <c r="BL113" s="515">
        <f t="shared" si="47"/>
        <v>0</v>
      </c>
      <c r="BM113" s="515">
        <f t="shared" si="47"/>
        <v>0</v>
      </c>
      <c r="BN113" s="515">
        <f t="shared" si="47"/>
        <v>0</v>
      </c>
      <c r="BO113" s="515">
        <f t="shared" si="47"/>
        <v>0</v>
      </c>
      <c r="BP113" s="515">
        <f t="shared" si="47"/>
        <v>0</v>
      </c>
      <c r="BQ113" s="515">
        <f t="shared" si="47"/>
        <v>0</v>
      </c>
      <c r="BR113" s="515">
        <f t="shared" si="47"/>
        <v>0</v>
      </c>
      <c r="BS113" s="515">
        <f t="shared" si="47"/>
        <v>0</v>
      </c>
      <c r="BT113" s="515">
        <f t="shared" si="47"/>
        <v>0</v>
      </c>
      <c r="BU113" s="515">
        <f t="shared" si="47"/>
        <v>0</v>
      </c>
      <c r="BV113" s="515">
        <f t="shared" si="47"/>
        <v>0</v>
      </c>
      <c r="BW113" s="515">
        <f t="shared" si="47"/>
        <v>0</v>
      </c>
      <c r="BX113" s="515">
        <f t="shared" si="47"/>
        <v>0</v>
      </c>
      <c r="BY113" s="268"/>
      <c r="BZ113" s="268"/>
      <c r="CA113" s="268"/>
      <c r="CB113" s="268"/>
      <c r="CC113" s="268"/>
      <c r="CD113" s="268"/>
      <c r="CE113" s="268"/>
      <c r="CF113" s="268"/>
      <c r="CG113" s="268"/>
      <c r="CH113" s="268"/>
      <c r="CI113" s="268"/>
      <c r="CJ113" s="268"/>
      <c r="CK113" s="268"/>
      <c r="CL113" s="268"/>
      <c r="CM113" s="268"/>
      <c r="CN113" s="268"/>
      <c r="CO113" s="268"/>
      <c r="CP113" s="268"/>
      <c r="CQ113" s="268"/>
      <c r="CR113" s="268"/>
      <c r="CS113" s="268"/>
      <c r="CT113" s="268"/>
      <c r="CU113" s="268"/>
      <c r="CV113" s="268"/>
      <c r="CW113" s="268"/>
      <c r="CX113" s="268"/>
      <c r="CY113" s="268"/>
      <c r="CZ113" s="268"/>
      <c r="DA113" s="268"/>
      <c r="DB113" s="268"/>
      <c r="DC113" s="268"/>
      <c r="DD113" s="268"/>
      <c r="DE113" s="268"/>
      <c r="DF113" s="268"/>
      <c r="DG113" s="268"/>
      <c r="DH113" s="268"/>
      <c r="DI113" s="268"/>
      <c r="DJ113" s="268"/>
      <c r="DK113" s="268"/>
      <c r="DL113" s="268"/>
      <c r="DM113" s="268"/>
      <c r="DN113" s="268"/>
      <c r="DO113" s="268"/>
      <c r="DP113" s="268"/>
      <c r="DQ113" s="268"/>
      <c r="DR113" s="268"/>
      <c r="DS113" s="268"/>
      <c r="DT113" s="268"/>
      <c r="DU113" s="268"/>
      <c r="DV113" s="268"/>
      <c r="DW113" s="268"/>
      <c r="DX113" s="268"/>
      <c r="DY113" s="268"/>
      <c r="DZ113" s="268"/>
      <c r="EA113" s="268"/>
      <c r="EB113" s="268"/>
      <c r="EC113" s="268"/>
      <c r="ED113" s="268"/>
      <c r="EE113" s="268"/>
      <c r="EF113" s="268"/>
      <c r="EG113" s="268"/>
      <c r="EH113" s="268"/>
    </row>
    <row r="114" spans="1:138">
      <c r="A114" s="268"/>
      <c r="B114" s="342"/>
      <c r="C114" s="339" t="s">
        <v>334</v>
      </c>
      <c r="D114" s="520"/>
      <c r="E114" s="515"/>
      <c r="F114" s="515"/>
      <c r="G114" s="515"/>
      <c r="H114" s="515"/>
      <c r="I114" s="515"/>
      <c r="J114" s="515"/>
      <c r="K114" s="515"/>
      <c r="L114" s="515"/>
      <c r="M114" s="515"/>
      <c r="N114" s="515"/>
      <c r="O114" s="515"/>
      <c r="P114" s="515"/>
      <c r="Q114" s="515"/>
      <c r="R114" s="515"/>
      <c r="S114" s="515"/>
      <c r="T114" s="515"/>
      <c r="U114" s="515"/>
      <c r="V114" s="515"/>
      <c r="W114" s="515"/>
      <c r="X114" s="515"/>
      <c r="Y114" s="515"/>
      <c r="Z114" s="515"/>
      <c r="AA114" s="515"/>
      <c r="AB114" s="515"/>
      <c r="AC114" s="515"/>
      <c r="AD114" s="515"/>
      <c r="AE114" s="515"/>
      <c r="AF114" s="515"/>
      <c r="AG114" s="515"/>
      <c r="AH114" s="515"/>
      <c r="AI114" s="515"/>
      <c r="AJ114" s="515"/>
      <c r="AK114" s="515"/>
      <c r="AL114" s="515"/>
      <c r="AM114" s="515"/>
      <c r="AN114" s="515"/>
      <c r="AO114" s="515"/>
      <c r="AP114" s="515"/>
      <c r="AQ114" s="515"/>
      <c r="AR114" s="515"/>
      <c r="AS114" s="515"/>
      <c r="AT114" s="515"/>
      <c r="AU114" s="515"/>
      <c r="AV114" s="515"/>
      <c r="AW114" s="515"/>
      <c r="AX114" s="515"/>
      <c r="AY114" s="515"/>
      <c r="AZ114" s="515"/>
      <c r="BA114" s="515"/>
      <c r="BB114" s="515"/>
      <c r="BC114" s="515"/>
      <c r="BD114" s="515"/>
      <c r="BE114" s="515"/>
      <c r="BF114" s="515"/>
      <c r="BG114" s="515"/>
      <c r="BH114" s="515"/>
      <c r="BI114" s="515"/>
      <c r="BJ114" s="515"/>
      <c r="BK114" s="515"/>
      <c r="BL114" s="515"/>
      <c r="BM114" s="515"/>
      <c r="BN114" s="515"/>
      <c r="BO114" s="515"/>
      <c r="BP114" s="515"/>
      <c r="BQ114" s="515"/>
      <c r="BR114" s="515"/>
      <c r="BS114" s="515"/>
      <c r="BT114" s="515"/>
      <c r="BU114" s="515"/>
      <c r="BV114" s="515"/>
      <c r="BW114" s="515"/>
      <c r="BX114" s="515" t="e">
        <f>IF(D104&gt;0.25,(BX99-BX107)*D116,BX99*D116)</f>
        <v>#VALUE!</v>
      </c>
      <c r="BY114" s="268"/>
      <c r="BZ114" s="268"/>
      <c r="CA114" s="268"/>
      <c r="CB114" s="268"/>
      <c r="CC114" s="268"/>
      <c r="CD114" s="268"/>
      <c r="CE114" s="268"/>
      <c r="CF114" s="268"/>
      <c r="CG114" s="268"/>
      <c r="CH114" s="268"/>
      <c r="CI114" s="268"/>
      <c r="CJ114" s="268"/>
      <c r="CK114" s="268"/>
      <c r="CL114" s="268"/>
      <c r="CM114" s="268"/>
      <c r="CN114" s="268"/>
      <c r="CO114" s="268"/>
      <c r="CP114" s="268"/>
      <c r="CQ114" s="268"/>
      <c r="CR114" s="268"/>
      <c r="CS114" s="268"/>
      <c r="CT114" s="268"/>
      <c r="CU114" s="268"/>
      <c r="CV114" s="268"/>
      <c r="CW114" s="268"/>
      <c r="CX114" s="268"/>
      <c r="CY114" s="268"/>
      <c r="CZ114" s="268"/>
      <c r="DA114" s="268"/>
      <c r="DB114" s="268"/>
      <c r="DC114" s="268"/>
      <c r="DD114" s="268"/>
      <c r="DE114" s="268"/>
      <c r="DF114" s="268"/>
      <c r="DG114" s="268"/>
      <c r="DH114" s="268"/>
      <c r="DI114" s="268"/>
      <c r="DJ114" s="268"/>
      <c r="DK114" s="268"/>
      <c r="DL114" s="268"/>
      <c r="DM114" s="268"/>
      <c r="DN114" s="268"/>
      <c r="DO114" s="268"/>
      <c r="DP114" s="268"/>
      <c r="DQ114" s="268"/>
      <c r="DR114" s="268"/>
      <c r="DS114" s="268"/>
      <c r="DT114" s="268"/>
      <c r="DU114" s="268"/>
      <c r="DV114" s="268"/>
      <c r="DW114" s="268"/>
      <c r="DX114" s="268"/>
      <c r="DY114" s="268"/>
      <c r="DZ114" s="268"/>
      <c r="EA114" s="268"/>
      <c r="EB114" s="268"/>
      <c r="EC114" s="268"/>
      <c r="ED114" s="268"/>
      <c r="EE114" s="268"/>
      <c r="EF114" s="268"/>
      <c r="EG114" s="268"/>
      <c r="EH114" s="268"/>
    </row>
    <row r="115" spans="1:138">
      <c r="A115" s="268"/>
      <c r="B115" s="342"/>
      <c r="C115" s="339" t="s">
        <v>330</v>
      </c>
      <c r="D115" s="520"/>
      <c r="E115" s="515"/>
      <c r="F115" s="515"/>
      <c r="G115" s="515"/>
      <c r="H115" s="515"/>
      <c r="I115" s="515"/>
      <c r="J115" s="515"/>
      <c r="K115" s="515"/>
      <c r="L115" s="515"/>
      <c r="M115" s="515"/>
      <c r="N115" s="515"/>
      <c r="O115" s="515"/>
      <c r="P115" s="515"/>
      <c r="Q115" s="515"/>
      <c r="R115" s="515"/>
      <c r="S115" s="515"/>
      <c r="T115" s="515"/>
      <c r="U115" s="515"/>
      <c r="V115" s="515"/>
      <c r="W115" s="515"/>
      <c r="X115" s="515"/>
      <c r="Y115" s="515"/>
      <c r="Z115" s="515"/>
      <c r="AA115" s="515"/>
      <c r="AB115" s="515"/>
      <c r="AC115" s="515"/>
      <c r="AD115" s="515"/>
      <c r="AE115" s="515"/>
      <c r="AF115" s="515"/>
      <c r="AG115" s="515"/>
      <c r="AH115" s="515"/>
      <c r="AI115" s="515"/>
      <c r="AJ115" s="515"/>
      <c r="AK115" s="515"/>
      <c r="AL115" s="515"/>
      <c r="AM115" s="515"/>
      <c r="AN115" s="515"/>
      <c r="AO115" s="515"/>
      <c r="AP115" s="515"/>
      <c r="AQ115" s="515"/>
      <c r="AR115" s="515"/>
      <c r="AS115" s="515"/>
      <c r="AT115" s="515"/>
      <c r="AU115" s="515"/>
      <c r="AV115" s="515"/>
      <c r="AW115" s="515"/>
      <c r="AX115" s="515"/>
      <c r="AY115" s="515"/>
      <c r="AZ115" s="515"/>
      <c r="BA115" s="515"/>
      <c r="BB115" s="515"/>
      <c r="BC115" s="515"/>
      <c r="BD115" s="515"/>
      <c r="BE115" s="515"/>
      <c r="BF115" s="515"/>
      <c r="BG115" s="515"/>
      <c r="BH115" s="515"/>
      <c r="BI115" s="515"/>
      <c r="BJ115" s="515"/>
      <c r="BK115" s="515"/>
      <c r="BL115" s="515"/>
      <c r="BM115" s="515"/>
      <c r="BN115" s="515"/>
      <c r="BO115" s="515"/>
      <c r="BP115" s="515"/>
      <c r="BQ115" s="515"/>
      <c r="BR115" s="515"/>
      <c r="BS115" s="515"/>
      <c r="BT115" s="515"/>
      <c r="BU115" s="515"/>
      <c r="BV115" s="515"/>
      <c r="BW115" s="515"/>
      <c r="BX115" s="515" t="e">
        <f>IF(D104&gt;0.25,BX107,0)</f>
        <v>#VALUE!</v>
      </c>
      <c r="BY115" s="268"/>
      <c r="BZ115" s="268"/>
      <c r="CA115" s="268"/>
      <c r="CB115" s="268"/>
      <c r="CC115" s="268"/>
      <c r="CD115" s="268"/>
      <c r="CE115" s="268"/>
      <c r="CF115" s="268"/>
      <c r="CG115" s="268"/>
      <c r="CH115" s="268"/>
      <c r="CI115" s="268"/>
      <c r="CJ115" s="268"/>
      <c r="CK115" s="268"/>
      <c r="CL115" s="268"/>
      <c r="CM115" s="268"/>
      <c r="CN115" s="268"/>
      <c r="CO115" s="268"/>
      <c r="CP115" s="268"/>
      <c r="CQ115" s="268"/>
      <c r="CR115" s="268"/>
      <c r="CS115" s="268"/>
      <c r="CT115" s="268"/>
      <c r="CU115" s="268"/>
      <c r="CV115" s="268"/>
      <c r="CW115" s="268"/>
      <c r="CX115" s="268"/>
      <c r="CY115" s="268"/>
      <c r="CZ115" s="268"/>
      <c r="DA115" s="268"/>
      <c r="DB115" s="268"/>
      <c r="DC115" s="268"/>
      <c r="DD115" s="268"/>
      <c r="DE115" s="268"/>
      <c r="DF115" s="268"/>
      <c r="DG115" s="268"/>
      <c r="DH115" s="268"/>
      <c r="DI115" s="268"/>
      <c r="DJ115" s="268"/>
      <c r="DK115" s="268"/>
      <c r="DL115" s="268"/>
      <c r="DM115" s="268"/>
      <c r="DN115" s="268"/>
      <c r="DO115" s="268"/>
      <c r="DP115" s="268"/>
      <c r="DQ115" s="268"/>
      <c r="DR115" s="268"/>
      <c r="DS115" s="268"/>
      <c r="DT115" s="268"/>
      <c r="DU115" s="268"/>
      <c r="DV115" s="268"/>
      <c r="DW115" s="268"/>
      <c r="DX115" s="268"/>
      <c r="DY115" s="268"/>
      <c r="DZ115" s="268"/>
      <c r="EA115" s="268"/>
      <c r="EB115" s="268"/>
      <c r="EC115" s="268"/>
      <c r="ED115" s="268"/>
      <c r="EE115" s="268"/>
      <c r="EF115" s="268"/>
      <c r="EG115" s="268"/>
      <c r="EH115" s="268"/>
    </row>
    <row r="116" spans="1:138">
      <c r="A116" s="268"/>
      <c r="B116" s="342"/>
      <c r="C116" s="517" t="s">
        <v>335</v>
      </c>
      <c r="D116" s="520">
        <v>0</v>
      </c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87"/>
      <c r="AW116" s="287"/>
      <c r="AX116" s="287"/>
      <c r="AY116" s="287"/>
      <c r="AZ116" s="287"/>
      <c r="BA116" s="287"/>
      <c r="BB116" s="287"/>
      <c r="BC116" s="343"/>
      <c r="BD116" s="287"/>
      <c r="BE116" s="287"/>
      <c r="BF116" s="287"/>
      <c r="BG116" s="287"/>
      <c r="BH116" s="287"/>
      <c r="BI116" s="287"/>
      <c r="BJ116" s="287"/>
      <c r="BK116" s="287"/>
      <c r="BL116" s="287"/>
      <c r="BM116" s="287"/>
      <c r="BN116" s="287"/>
      <c r="BO116" s="287"/>
      <c r="BP116" s="287"/>
      <c r="BQ116" s="287"/>
      <c r="BR116" s="287"/>
      <c r="BS116" s="287"/>
      <c r="BT116" s="287"/>
      <c r="BU116" s="287"/>
      <c r="BV116" s="287"/>
      <c r="BW116" s="287"/>
      <c r="BX116" s="287"/>
      <c r="BY116" s="268"/>
      <c r="BZ116" s="268"/>
      <c r="CA116" s="268"/>
      <c r="CB116" s="268"/>
      <c r="CC116" s="268"/>
      <c r="CD116" s="268"/>
      <c r="CE116" s="268"/>
      <c r="CF116" s="268"/>
      <c r="CG116" s="268"/>
      <c r="CH116" s="268"/>
      <c r="CI116" s="268"/>
      <c r="CJ116" s="268"/>
      <c r="CK116" s="268"/>
      <c r="CL116" s="268"/>
      <c r="CM116" s="268"/>
      <c r="CN116" s="268"/>
      <c r="CO116" s="268"/>
      <c r="CP116" s="268"/>
      <c r="CQ116" s="268"/>
      <c r="CR116" s="268"/>
      <c r="CS116" s="268"/>
      <c r="CT116" s="268"/>
      <c r="CU116" s="268"/>
      <c r="CV116" s="268"/>
      <c r="CW116" s="268"/>
      <c r="CX116" s="268"/>
      <c r="CY116" s="268"/>
      <c r="CZ116" s="268"/>
      <c r="DA116" s="268"/>
      <c r="DB116" s="268"/>
      <c r="DC116" s="268"/>
      <c r="DD116" s="268"/>
      <c r="DE116" s="268"/>
      <c r="DF116" s="268"/>
      <c r="DG116" s="268"/>
      <c r="DH116" s="268"/>
      <c r="DI116" s="268"/>
      <c r="DJ116" s="268"/>
      <c r="DK116" s="268"/>
      <c r="DL116" s="268"/>
      <c r="DM116" s="268"/>
      <c r="DN116" s="268"/>
      <c r="DO116" s="268"/>
      <c r="DP116" s="268"/>
      <c r="DQ116" s="268"/>
      <c r="DR116" s="268"/>
      <c r="DS116" s="268"/>
      <c r="DT116" s="268"/>
      <c r="DU116" s="268"/>
      <c r="DV116" s="268"/>
      <c r="DW116" s="268"/>
      <c r="DX116" s="268"/>
      <c r="DY116" s="268"/>
      <c r="DZ116" s="268"/>
      <c r="EA116" s="268"/>
      <c r="EB116" s="268"/>
      <c r="EC116" s="268"/>
      <c r="ED116" s="268"/>
      <c r="EE116" s="268"/>
      <c r="EF116" s="268"/>
      <c r="EG116" s="268"/>
      <c r="EH116" s="268"/>
    </row>
    <row r="117" spans="1:138">
      <c r="A117" s="268"/>
      <c r="B117" s="342"/>
      <c r="C117" s="339" t="s">
        <v>336</v>
      </c>
      <c r="D117" s="340"/>
      <c r="E117" s="521">
        <f t="shared" ref="E117:BW117" si="48">E111+E112+E113+E114+E116</f>
        <v>0</v>
      </c>
      <c r="F117" s="521">
        <f t="shared" si="48"/>
        <v>0</v>
      </c>
      <c r="G117" s="521">
        <f t="shared" si="48"/>
        <v>0</v>
      </c>
      <c r="H117" s="521">
        <f t="shared" si="48"/>
        <v>0</v>
      </c>
      <c r="I117" s="521">
        <f t="shared" si="48"/>
        <v>0</v>
      </c>
      <c r="J117" s="521">
        <f t="shared" si="48"/>
        <v>0</v>
      </c>
      <c r="K117" s="521">
        <f t="shared" si="48"/>
        <v>0</v>
      </c>
      <c r="L117" s="521">
        <f t="shared" si="48"/>
        <v>0</v>
      </c>
      <c r="M117" s="521">
        <f t="shared" si="48"/>
        <v>0</v>
      </c>
      <c r="N117" s="521">
        <f t="shared" si="48"/>
        <v>0</v>
      </c>
      <c r="O117" s="521">
        <f t="shared" si="48"/>
        <v>0</v>
      </c>
      <c r="P117" s="521">
        <f t="shared" si="48"/>
        <v>0</v>
      </c>
      <c r="Q117" s="521">
        <f t="shared" si="48"/>
        <v>0</v>
      </c>
      <c r="R117" s="521">
        <f t="shared" si="48"/>
        <v>0</v>
      </c>
      <c r="S117" s="521">
        <f t="shared" si="48"/>
        <v>0</v>
      </c>
      <c r="T117" s="521">
        <f t="shared" si="48"/>
        <v>0</v>
      </c>
      <c r="U117" s="521">
        <f t="shared" si="48"/>
        <v>0</v>
      </c>
      <c r="V117" s="521">
        <f t="shared" si="48"/>
        <v>0</v>
      </c>
      <c r="W117" s="521">
        <f t="shared" si="48"/>
        <v>0</v>
      </c>
      <c r="X117" s="521">
        <f t="shared" si="48"/>
        <v>0</v>
      </c>
      <c r="Y117" s="521">
        <f t="shared" si="48"/>
        <v>0</v>
      </c>
      <c r="Z117" s="521">
        <f t="shared" si="48"/>
        <v>0</v>
      </c>
      <c r="AA117" s="521">
        <f t="shared" si="48"/>
        <v>0</v>
      </c>
      <c r="AB117" s="521">
        <f t="shared" si="48"/>
        <v>0</v>
      </c>
      <c r="AC117" s="521">
        <f t="shared" si="48"/>
        <v>0</v>
      </c>
      <c r="AD117" s="521">
        <f t="shared" si="48"/>
        <v>0</v>
      </c>
      <c r="AE117" s="521">
        <f t="shared" si="48"/>
        <v>0</v>
      </c>
      <c r="AF117" s="521">
        <f t="shared" si="48"/>
        <v>0</v>
      </c>
      <c r="AG117" s="521">
        <f t="shared" si="48"/>
        <v>0</v>
      </c>
      <c r="AH117" s="521">
        <f t="shared" si="48"/>
        <v>0</v>
      </c>
      <c r="AI117" s="521">
        <f t="shared" si="48"/>
        <v>0</v>
      </c>
      <c r="AJ117" s="521">
        <f t="shared" si="48"/>
        <v>0</v>
      </c>
      <c r="AK117" s="521">
        <f t="shared" si="48"/>
        <v>0</v>
      </c>
      <c r="AL117" s="521">
        <f t="shared" si="48"/>
        <v>0</v>
      </c>
      <c r="AM117" s="521">
        <f t="shared" si="48"/>
        <v>0</v>
      </c>
      <c r="AN117" s="521">
        <f t="shared" si="48"/>
        <v>0</v>
      </c>
      <c r="AO117" s="521">
        <f t="shared" si="48"/>
        <v>0</v>
      </c>
      <c r="AP117" s="521">
        <f t="shared" si="48"/>
        <v>0</v>
      </c>
      <c r="AQ117" s="521">
        <f t="shared" si="48"/>
        <v>0</v>
      </c>
      <c r="AR117" s="521">
        <f t="shared" si="48"/>
        <v>0</v>
      </c>
      <c r="AS117" s="521">
        <f t="shared" si="48"/>
        <v>0</v>
      </c>
      <c r="AT117" s="521">
        <f t="shared" si="48"/>
        <v>0</v>
      </c>
      <c r="AU117" s="521">
        <f t="shared" si="48"/>
        <v>0</v>
      </c>
      <c r="AV117" s="521">
        <f t="shared" si="48"/>
        <v>0</v>
      </c>
      <c r="AW117" s="521">
        <f t="shared" si="48"/>
        <v>0</v>
      </c>
      <c r="AX117" s="521">
        <f t="shared" si="48"/>
        <v>0</v>
      </c>
      <c r="AY117" s="521">
        <f t="shared" si="48"/>
        <v>0</v>
      </c>
      <c r="AZ117" s="521">
        <f t="shared" si="48"/>
        <v>0</v>
      </c>
      <c r="BA117" s="521">
        <f t="shared" si="48"/>
        <v>0</v>
      </c>
      <c r="BB117" s="521">
        <f t="shared" si="48"/>
        <v>0</v>
      </c>
      <c r="BC117" s="521">
        <f t="shared" si="48"/>
        <v>0</v>
      </c>
      <c r="BD117" s="521">
        <f t="shared" si="48"/>
        <v>0</v>
      </c>
      <c r="BE117" s="521">
        <f t="shared" si="48"/>
        <v>0</v>
      </c>
      <c r="BF117" s="521">
        <f t="shared" si="48"/>
        <v>0</v>
      </c>
      <c r="BG117" s="521">
        <f t="shared" si="48"/>
        <v>0</v>
      </c>
      <c r="BH117" s="521">
        <f t="shared" si="48"/>
        <v>0</v>
      </c>
      <c r="BI117" s="521">
        <f t="shared" si="48"/>
        <v>0</v>
      </c>
      <c r="BJ117" s="521">
        <f t="shared" si="48"/>
        <v>0</v>
      </c>
      <c r="BK117" s="521">
        <f t="shared" si="48"/>
        <v>0</v>
      </c>
      <c r="BL117" s="521">
        <f t="shared" si="48"/>
        <v>0</v>
      </c>
      <c r="BM117" s="521">
        <f t="shared" si="48"/>
        <v>0</v>
      </c>
      <c r="BN117" s="521">
        <f t="shared" si="48"/>
        <v>0</v>
      </c>
      <c r="BO117" s="521">
        <f t="shared" si="48"/>
        <v>0</v>
      </c>
      <c r="BP117" s="521">
        <f t="shared" si="48"/>
        <v>0</v>
      </c>
      <c r="BQ117" s="521">
        <f t="shared" si="48"/>
        <v>0</v>
      </c>
      <c r="BR117" s="521">
        <f t="shared" si="48"/>
        <v>0</v>
      </c>
      <c r="BS117" s="521">
        <f t="shared" si="48"/>
        <v>0</v>
      </c>
      <c r="BT117" s="521">
        <f t="shared" si="48"/>
        <v>0</v>
      </c>
      <c r="BU117" s="521">
        <f t="shared" si="48"/>
        <v>0</v>
      </c>
      <c r="BV117" s="521">
        <f t="shared" si="48"/>
        <v>0</v>
      </c>
      <c r="BW117" s="521">
        <f t="shared" si="48"/>
        <v>0</v>
      </c>
      <c r="BX117" s="521" t="e">
        <f>BX111+BX112+BX113+BX114+BX115+BX116</f>
        <v>#VALUE!</v>
      </c>
      <c r="BY117" s="268"/>
      <c r="BZ117" s="268"/>
      <c r="CA117" s="268"/>
      <c r="CB117" s="268"/>
      <c r="CC117" s="268"/>
      <c r="CD117" s="268"/>
      <c r="CE117" s="268"/>
      <c r="CF117" s="268"/>
      <c r="CG117" s="268"/>
      <c r="CH117" s="268"/>
      <c r="CI117" s="268"/>
      <c r="CJ117" s="268"/>
      <c r="CK117" s="268"/>
      <c r="CL117" s="268"/>
      <c r="CM117" s="268"/>
      <c r="CN117" s="268"/>
      <c r="CO117" s="268"/>
      <c r="CP117" s="268"/>
      <c r="CQ117" s="268"/>
      <c r="CR117" s="268"/>
      <c r="CS117" s="268"/>
      <c r="CT117" s="268"/>
      <c r="CU117" s="268"/>
      <c r="CV117" s="268"/>
      <c r="CW117" s="268"/>
      <c r="CX117" s="268"/>
      <c r="CY117" s="268"/>
      <c r="CZ117" s="268"/>
      <c r="DA117" s="268"/>
      <c r="DB117" s="268"/>
      <c r="DC117" s="268"/>
      <c r="DD117" s="268"/>
      <c r="DE117" s="268"/>
      <c r="DF117" s="268"/>
      <c r="DG117" s="268"/>
      <c r="DH117" s="268"/>
      <c r="DI117" s="268"/>
      <c r="DJ117" s="268"/>
      <c r="DK117" s="268"/>
      <c r="DL117" s="268"/>
      <c r="DM117" s="268"/>
      <c r="DN117" s="268"/>
      <c r="DO117" s="268"/>
      <c r="DP117" s="268"/>
      <c r="DQ117" s="268"/>
      <c r="DR117" s="268"/>
      <c r="DS117" s="268"/>
      <c r="DT117" s="268"/>
      <c r="DU117" s="268"/>
      <c r="DV117" s="268"/>
      <c r="DW117" s="268"/>
      <c r="DX117" s="268"/>
      <c r="DY117" s="268"/>
      <c r="DZ117" s="268"/>
      <c r="EA117" s="268"/>
      <c r="EB117" s="268"/>
      <c r="EC117" s="268"/>
      <c r="ED117" s="268"/>
      <c r="EE117" s="268"/>
      <c r="EF117" s="268"/>
      <c r="EG117" s="268"/>
      <c r="EH117" s="268"/>
    </row>
    <row r="118" spans="1:138">
      <c r="A118" s="268"/>
      <c r="B118" s="342"/>
      <c r="C118" s="517" t="s">
        <v>329</v>
      </c>
      <c r="D118" s="522" t="e">
        <f>IRR(E117:BX117)*12</f>
        <v>#VALUE!</v>
      </c>
      <c r="E118" s="268"/>
      <c r="F118" s="268"/>
      <c r="G118" s="268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8"/>
      <c r="S118" s="268"/>
      <c r="T118" s="268"/>
      <c r="U118" s="268"/>
      <c r="V118" s="268"/>
      <c r="W118" s="268"/>
      <c r="X118" s="268"/>
      <c r="Y118" s="268"/>
      <c r="Z118" s="268"/>
      <c r="AA118" s="268"/>
      <c r="AB118" s="268"/>
      <c r="AC118" s="268"/>
      <c r="AD118" s="268"/>
      <c r="AE118" s="268"/>
      <c r="AF118" s="268"/>
      <c r="AG118" s="268"/>
      <c r="AH118" s="268"/>
      <c r="AI118" s="268"/>
      <c r="AJ118" s="268"/>
      <c r="AK118" s="268"/>
      <c r="AL118" s="268"/>
      <c r="AM118" s="268"/>
      <c r="AN118" s="268"/>
      <c r="AO118" s="268"/>
      <c r="AP118" s="268"/>
      <c r="AQ118" s="268"/>
      <c r="AR118" s="268"/>
      <c r="AS118" s="268"/>
      <c r="AT118" s="268"/>
      <c r="AU118" s="268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8"/>
      <c r="BF118" s="268"/>
      <c r="BG118" s="268"/>
      <c r="BH118" s="268"/>
      <c r="BI118" s="268"/>
      <c r="BJ118" s="268"/>
      <c r="BK118" s="268"/>
      <c r="BL118" s="268"/>
      <c r="BM118" s="268"/>
      <c r="BN118" s="268"/>
      <c r="BO118" s="268"/>
      <c r="BP118" s="268"/>
      <c r="BQ118" s="268"/>
      <c r="BR118" s="268"/>
      <c r="BS118" s="268"/>
      <c r="BT118" s="268"/>
      <c r="BU118" s="268"/>
      <c r="BV118" s="268"/>
      <c r="BW118" s="268"/>
      <c r="BX118" s="268"/>
      <c r="BY118" s="268"/>
      <c r="BZ118" s="268"/>
      <c r="CA118" s="268"/>
      <c r="CB118" s="268"/>
      <c r="CC118" s="268"/>
      <c r="CD118" s="268"/>
      <c r="CE118" s="268"/>
      <c r="CF118" s="268"/>
      <c r="CG118" s="268"/>
      <c r="CH118" s="268"/>
      <c r="CI118" s="268"/>
      <c r="CJ118" s="268"/>
      <c r="CK118" s="268"/>
      <c r="CL118" s="268"/>
      <c r="CM118" s="268"/>
      <c r="CN118" s="268"/>
      <c r="CO118" s="268"/>
      <c r="CP118" s="268"/>
      <c r="CQ118" s="268"/>
      <c r="CR118" s="268"/>
      <c r="CS118" s="268"/>
      <c r="CT118" s="268"/>
      <c r="CU118" s="268"/>
      <c r="CV118" s="268"/>
      <c r="CW118" s="268"/>
      <c r="CX118" s="268"/>
      <c r="CY118" s="268"/>
      <c r="CZ118" s="268"/>
      <c r="DA118" s="268"/>
      <c r="DB118" s="268"/>
      <c r="DC118" s="268"/>
      <c r="DD118" s="268"/>
      <c r="DE118" s="268"/>
      <c r="DF118" s="268"/>
      <c r="DG118" s="268"/>
      <c r="DH118" s="268"/>
      <c r="DI118" s="268"/>
      <c r="DJ118" s="268"/>
      <c r="DK118" s="268"/>
      <c r="DL118" s="268"/>
      <c r="DM118" s="268"/>
      <c r="DN118" s="268"/>
      <c r="DO118" s="268"/>
      <c r="DP118" s="268"/>
      <c r="DQ118" s="268"/>
      <c r="DR118" s="268"/>
      <c r="DS118" s="268"/>
      <c r="DT118" s="268"/>
      <c r="DU118" s="268"/>
      <c r="DV118" s="268"/>
      <c r="DW118" s="268"/>
      <c r="DX118" s="268"/>
      <c r="DY118" s="268"/>
      <c r="DZ118" s="268"/>
      <c r="EA118" s="268"/>
      <c r="EB118" s="268"/>
      <c r="EC118" s="268"/>
      <c r="ED118" s="268"/>
      <c r="EE118" s="268"/>
      <c r="EF118" s="268"/>
      <c r="EG118" s="268"/>
      <c r="EH118" s="268"/>
    </row>
    <row r="119" spans="1:138">
      <c r="A119" s="268"/>
      <c r="B119" s="342"/>
      <c r="C119" s="523" t="s">
        <v>337</v>
      </c>
      <c r="D119" s="524">
        <f>-MIN(E111:BL111)</f>
        <v>0</v>
      </c>
      <c r="E119" s="268"/>
      <c r="F119" s="268"/>
      <c r="G119" s="268"/>
      <c r="H119" s="268"/>
      <c r="I119" s="268"/>
      <c r="J119" s="268"/>
      <c r="K119" s="268"/>
      <c r="L119" s="268"/>
      <c r="M119" s="268"/>
      <c r="N119" s="268"/>
      <c r="O119" s="268"/>
      <c r="P119" s="268"/>
      <c r="Q119" s="268"/>
      <c r="R119" s="268"/>
      <c r="S119" s="268"/>
      <c r="T119" s="268"/>
      <c r="U119" s="268"/>
      <c r="V119" s="268"/>
      <c r="W119" s="268"/>
      <c r="X119" s="268"/>
      <c r="Y119" s="268"/>
      <c r="Z119" s="268"/>
      <c r="AA119" s="268"/>
      <c r="AB119" s="268"/>
      <c r="AC119" s="268"/>
      <c r="AD119" s="268"/>
      <c r="AE119" s="268"/>
      <c r="AF119" s="268"/>
      <c r="AG119" s="268"/>
      <c r="AH119" s="268"/>
      <c r="AI119" s="268"/>
      <c r="AJ119" s="268"/>
      <c r="AK119" s="268"/>
      <c r="AL119" s="268"/>
      <c r="AM119" s="268"/>
      <c r="AN119" s="268"/>
      <c r="AO119" s="268"/>
      <c r="AP119" s="268"/>
      <c r="AQ119" s="268"/>
      <c r="AR119" s="268"/>
      <c r="AS119" s="268"/>
      <c r="AT119" s="268"/>
      <c r="AU119" s="268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8"/>
      <c r="BF119" s="268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8"/>
      <c r="BQ119" s="268"/>
      <c r="BR119" s="268"/>
      <c r="BS119" s="268"/>
      <c r="BT119" s="268"/>
      <c r="BU119" s="268"/>
      <c r="BV119" s="268"/>
      <c r="BW119" s="268"/>
      <c r="BX119" s="268"/>
      <c r="BY119" s="268"/>
      <c r="BZ119" s="268"/>
      <c r="CA119" s="268"/>
      <c r="CB119" s="268"/>
      <c r="CC119" s="268"/>
      <c r="CD119" s="268"/>
      <c r="CE119" s="268"/>
      <c r="CF119" s="268"/>
      <c r="CG119" s="268"/>
      <c r="CH119" s="268"/>
      <c r="CI119" s="268"/>
      <c r="CJ119" s="268"/>
      <c r="CK119" s="268"/>
      <c r="CL119" s="268"/>
      <c r="CM119" s="268"/>
      <c r="CN119" s="268"/>
      <c r="CO119" s="268"/>
      <c r="CP119" s="268"/>
      <c r="CQ119" s="268"/>
      <c r="CR119" s="268"/>
      <c r="CS119" s="268"/>
      <c r="CT119" s="268"/>
      <c r="CU119" s="268"/>
      <c r="CV119" s="268"/>
      <c r="CW119" s="268"/>
      <c r="CX119" s="268"/>
      <c r="CY119" s="268"/>
      <c r="CZ119" s="268"/>
      <c r="DA119" s="268"/>
      <c r="DB119" s="268"/>
      <c r="DC119" s="268"/>
      <c r="DD119" s="268"/>
      <c r="DE119" s="268"/>
      <c r="DF119" s="268"/>
      <c r="DG119" s="268"/>
      <c r="DH119" s="268"/>
      <c r="DI119" s="268"/>
      <c r="DJ119" s="268"/>
      <c r="DK119" s="268"/>
      <c r="DL119" s="268"/>
      <c r="DM119" s="268"/>
      <c r="DN119" s="268"/>
      <c r="DO119" s="268"/>
      <c r="DP119" s="268"/>
      <c r="DQ119" s="268"/>
      <c r="DR119" s="268"/>
      <c r="DS119" s="268"/>
      <c r="DT119" s="268"/>
      <c r="DU119" s="268"/>
      <c r="DV119" s="268"/>
      <c r="DW119" s="268"/>
      <c r="DX119" s="268"/>
      <c r="DY119" s="268"/>
      <c r="DZ119" s="268"/>
      <c r="EA119" s="268"/>
      <c r="EB119" s="268"/>
      <c r="EC119" s="268"/>
      <c r="ED119" s="268"/>
      <c r="EE119" s="268"/>
      <c r="EF119" s="268"/>
      <c r="EG119" s="268"/>
      <c r="EH119" s="268"/>
    </row>
    <row r="120" spans="1:138">
      <c r="A120" s="268"/>
      <c r="B120" s="342"/>
      <c r="C120" s="517" t="s">
        <v>338</v>
      </c>
      <c r="D120" s="525">
        <f>D119</f>
        <v>0</v>
      </c>
      <c r="E120" s="268"/>
      <c r="F120" s="268"/>
      <c r="G120" s="268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  <c r="X120" s="268"/>
      <c r="Y120" s="268"/>
      <c r="Z120" s="268"/>
      <c r="AA120" s="268"/>
      <c r="AB120" s="268"/>
      <c r="AC120" s="268"/>
      <c r="AD120" s="268"/>
      <c r="AE120" s="268"/>
      <c r="AF120" s="268"/>
      <c r="AG120" s="268"/>
      <c r="AH120" s="268"/>
      <c r="AI120" s="268"/>
      <c r="AJ120" s="268"/>
      <c r="AK120" s="268"/>
      <c r="AL120" s="268"/>
      <c r="AM120" s="268"/>
      <c r="AN120" s="268"/>
      <c r="AO120" s="268"/>
      <c r="AP120" s="268"/>
      <c r="AQ120" s="268"/>
      <c r="AR120" s="268"/>
      <c r="AS120" s="268"/>
      <c r="AT120" s="268"/>
      <c r="AU120" s="268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8"/>
      <c r="BF120" s="268"/>
      <c r="BG120" s="268"/>
      <c r="BH120" s="268"/>
      <c r="BI120" s="268"/>
      <c r="BJ120" s="268"/>
      <c r="BK120" s="268"/>
      <c r="BL120" s="268"/>
      <c r="BM120" s="268"/>
      <c r="BN120" s="268"/>
      <c r="BO120" s="268"/>
      <c r="BP120" s="268"/>
      <c r="BQ120" s="268"/>
      <c r="BR120" s="268"/>
      <c r="BS120" s="268"/>
      <c r="BT120" s="268"/>
      <c r="BU120" s="268"/>
      <c r="BV120" s="268"/>
      <c r="BW120" s="268"/>
      <c r="BX120" s="268"/>
      <c r="BY120" s="268"/>
      <c r="BZ120" s="268"/>
      <c r="CA120" s="268"/>
      <c r="CB120" s="268"/>
      <c r="CC120" s="268"/>
      <c r="CD120" s="268"/>
      <c r="CE120" s="268"/>
      <c r="CF120" s="268"/>
      <c r="CG120" s="268"/>
      <c r="CH120" s="268"/>
      <c r="CI120" s="268"/>
      <c r="CJ120" s="268"/>
      <c r="CK120" s="268"/>
      <c r="CL120" s="268"/>
      <c r="CM120" s="268"/>
      <c r="CN120" s="268"/>
      <c r="CO120" s="268"/>
      <c r="CP120" s="268"/>
      <c r="CQ120" s="268"/>
      <c r="CR120" s="268"/>
      <c r="CS120" s="268"/>
      <c r="CT120" s="268"/>
      <c r="CU120" s="268"/>
      <c r="CV120" s="268"/>
      <c r="CW120" s="268"/>
      <c r="CX120" s="268"/>
      <c r="CY120" s="268"/>
      <c r="CZ120" s="268"/>
      <c r="DA120" s="268"/>
      <c r="DB120" s="268"/>
      <c r="DC120" s="268"/>
      <c r="DD120" s="268"/>
      <c r="DE120" s="268"/>
      <c r="DF120" s="268"/>
      <c r="DG120" s="268"/>
      <c r="DH120" s="268"/>
      <c r="DI120" s="268"/>
      <c r="DJ120" s="268"/>
      <c r="DK120" s="268"/>
      <c r="DL120" s="268"/>
      <c r="DM120" s="268"/>
      <c r="DN120" s="268"/>
      <c r="DO120" s="268"/>
      <c r="DP120" s="268"/>
      <c r="DQ120" s="268"/>
      <c r="DR120" s="268"/>
      <c r="DS120" s="268"/>
      <c r="DT120" s="268"/>
      <c r="DU120" s="268"/>
      <c r="DV120" s="268"/>
      <c r="DW120" s="344"/>
      <c r="DX120" s="344"/>
      <c r="DY120" s="344"/>
      <c r="DZ120" s="344"/>
      <c r="EA120" s="344"/>
      <c r="EB120" s="344"/>
      <c r="EC120" s="344"/>
      <c r="ED120" s="344"/>
      <c r="EE120" s="344"/>
      <c r="EF120" s="344"/>
      <c r="EG120" s="344"/>
      <c r="EH120" s="344"/>
    </row>
    <row r="121" spans="1:138">
      <c r="A121" s="268"/>
      <c r="B121" s="342"/>
      <c r="C121" s="517" t="s">
        <v>339</v>
      </c>
      <c r="D121" s="525" t="e">
        <f>BX113+BX114+BX115</f>
        <v>#VALUE!</v>
      </c>
      <c r="E121" s="268"/>
      <c r="F121" s="268"/>
      <c r="G121" s="268"/>
      <c r="H121" s="268"/>
      <c r="I121" s="268"/>
      <c r="J121" s="268"/>
      <c r="K121" s="268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8"/>
      <c r="AA121" s="268"/>
      <c r="AB121" s="268"/>
      <c r="AC121" s="268"/>
      <c r="AD121" s="268"/>
      <c r="AE121" s="268"/>
      <c r="AF121" s="268"/>
      <c r="AG121" s="268"/>
      <c r="AH121" s="268"/>
      <c r="AI121" s="268"/>
      <c r="AJ121" s="268"/>
      <c r="AK121" s="268"/>
      <c r="AL121" s="268"/>
      <c r="AM121" s="268"/>
      <c r="AN121" s="268"/>
      <c r="AO121" s="268"/>
      <c r="AP121" s="268"/>
      <c r="AQ121" s="268"/>
      <c r="AR121" s="268"/>
      <c r="AS121" s="268"/>
      <c r="AT121" s="268"/>
      <c r="AU121" s="268"/>
      <c r="AV121" s="268"/>
      <c r="AW121" s="268"/>
      <c r="AX121" s="268"/>
      <c r="AY121" s="268"/>
      <c r="AZ121" s="268"/>
      <c r="BA121" s="268"/>
      <c r="BB121" s="268"/>
      <c r="BC121" s="268"/>
      <c r="BD121" s="268"/>
      <c r="BE121" s="268"/>
      <c r="BF121" s="268"/>
      <c r="BG121" s="268"/>
      <c r="BH121" s="268"/>
      <c r="BI121" s="268"/>
      <c r="BJ121" s="268"/>
      <c r="BK121" s="268"/>
      <c r="BL121" s="268"/>
      <c r="BM121" s="268"/>
      <c r="BN121" s="268"/>
      <c r="BO121" s="268"/>
      <c r="BP121" s="268"/>
      <c r="BQ121" s="268"/>
      <c r="BR121" s="268"/>
      <c r="BS121" s="268"/>
      <c r="BT121" s="268"/>
      <c r="BU121" s="268"/>
      <c r="BV121" s="268"/>
      <c r="BW121" s="268"/>
      <c r="BX121" s="268"/>
      <c r="BY121" s="268"/>
      <c r="BZ121" s="268"/>
      <c r="CA121" s="268"/>
      <c r="CB121" s="268"/>
      <c r="CC121" s="268"/>
      <c r="CD121" s="268"/>
      <c r="CE121" s="268"/>
      <c r="CF121" s="268"/>
      <c r="CG121" s="268"/>
      <c r="CH121" s="268"/>
      <c r="CI121" s="268"/>
      <c r="CJ121" s="268"/>
      <c r="CK121" s="268"/>
      <c r="CL121" s="268"/>
      <c r="CM121" s="268"/>
      <c r="CN121" s="268"/>
      <c r="CO121" s="268"/>
      <c r="CP121" s="268"/>
      <c r="CQ121" s="268"/>
      <c r="CR121" s="268"/>
      <c r="CS121" s="268"/>
      <c r="CT121" s="268"/>
      <c r="CU121" s="268"/>
      <c r="CV121" s="268"/>
      <c r="CW121" s="268"/>
      <c r="CX121" s="268"/>
      <c r="CY121" s="268"/>
      <c r="CZ121" s="268"/>
      <c r="DA121" s="268"/>
      <c r="DB121" s="268"/>
      <c r="DC121" s="268"/>
      <c r="DD121" s="268"/>
      <c r="DE121" s="268"/>
      <c r="DF121" s="268"/>
      <c r="DG121" s="268"/>
      <c r="DH121" s="268"/>
      <c r="DI121" s="268"/>
      <c r="DJ121" s="268"/>
      <c r="DK121" s="268"/>
      <c r="DL121" s="268"/>
      <c r="DM121" s="268"/>
      <c r="DN121" s="268"/>
      <c r="DO121" s="268"/>
      <c r="DP121" s="268"/>
      <c r="DQ121" s="268"/>
      <c r="DR121" s="268"/>
      <c r="DS121" s="268"/>
      <c r="DT121" s="268"/>
      <c r="DU121" s="268"/>
      <c r="DV121" s="268"/>
      <c r="DW121" s="344"/>
      <c r="DX121" s="344"/>
      <c r="DY121" s="344"/>
      <c r="DZ121" s="344"/>
      <c r="EA121" s="344"/>
      <c r="EB121" s="344"/>
      <c r="EC121" s="344"/>
      <c r="ED121" s="344"/>
      <c r="EE121" s="344"/>
      <c r="EF121" s="344"/>
      <c r="EG121" s="344"/>
      <c r="EH121" s="344"/>
    </row>
    <row r="122" spans="1:138">
      <c r="A122" s="268"/>
      <c r="B122" s="342"/>
      <c r="C122" s="517" t="s">
        <v>340</v>
      </c>
      <c r="D122" s="522" t="e">
        <f>D121/D120</f>
        <v>#VALUE!</v>
      </c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8"/>
      <c r="S122" s="268"/>
      <c r="T122" s="268"/>
      <c r="U122" s="268"/>
      <c r="V122" s="268"/>
      <c r="W122" s="268"/>
      <c r="X122" s="268"/>
      <c r="Y122" s="268"/>
      <c r="Z122" s="268"/>
      <c r="AA122" s="268"/>
      <c r="AB122" s="268"/>
      <c r="AC122" s="268"/>
      <c r="AD122" s="268"/>
      <c r="AE122" s="268"/>
      <c r="AF122" s="268"/>
      <c r="AG122" s="268"/>
      <c r="AH122" s="268"/>
      <c r="AI122" s="268"/>
      <c r="AJ122" s="268"/>
      <c r="AK122" s="268"/>
      <c r="AL122" s="268"/>
      <c r="AM122" s="268"/>
      <c r="AN122" s="268"/>
      <c r="AO122" s="268"/>
      <c r="AP122" s="268"/>
      <c r="AQ122" s="268"/>
      <c r="AR122" s="268"/>
      <c r="AS122" s="268"/>
      <c r="AT122" s="268"/>
      <c r="AU122" s="268"/>
      <c r="AV122" s="268"/>
      <c r="AW122" s="268"/>
      <c r="AX122" s="268"/>
      <c r="AY122" s="268"/>
      <c r="AZ122" s="268"/>
      <c r="BA122" s="268"/>
      <c r="BB122" s="268"/>
      <c r="BC122" s="268"/>
      <c r="BD122" s="268"/>
      <c r="BE122" s="268"/>
      <c r="BF122" s="268"/>
      <c r="BG122" s="268"/>
      <c r="BH122" s="268"/>
      <c r="BI122" s="268"/>
      <c r="BJ122" s="268"/>
      <c r="BK122" s="268"/>
      <c r="BL122" s="268"/>
      <c r="BM122" s="268"/>
      <c r="BN122" s="268"/>
      <c r="BO122" s="268"/>
      <c r="BP122" s="268"/>
      <c r="BQ122" s="268"/>
      <c r="BR122" s="268"/>
      <c r="BS122" s="268"/>
      <c r="BT122" s="268"/>
      <c r="BU122" s="268"/>
      <c r="BV122" s="268"/>
      <c r="BW122" s="268"/>
      <c r="BX122" s="268"/>
      <c r="BY122" s="268"/>
      <c r="BZ122" s="268"/>
      <c r="CA122" s="268"/>
      <c r="CB122" s="268"/>
      <c r="CC122" s="268"/>
      <c r="CD122" s="268"/>
      <c r="CE122" s="268"/>
      <c r="CF122" s="268"/>
      <c r="CG122" s="268"/>
      <c r="CH122" s="268"/>
      <c r="CI122" s="268"/>
      <c r="CJ122" s="268"/>
      <c r="CK122" s="268"/>
      <c r="CL122" s="268"/>
      <c r="CM122" s="268"/>
      <c r="CN122" s="268"/>
      <c r="CO122" s="268"/>
      <c r="CP122" s="268"/>
      <c r="CQ122" s="268"/>
      <c r="CR122" s="268"/>
      <c r="CS122" s="268"/>
      <c r="CT122" s="268"/>
      <c r="CU122" s="268"/>
      <c r="CV122" s="268"/>
      <c r="CW122" s="268"/>
      <c r="CX122" s="268"/>
      <c r="CY122" s="268"/>
      <c r="CZ122" s="268"/>
      <c r="DA122" s="268"/>
      <c r="DB122" s="268"/>
      <c r="DC122" s="268"/>
      <c r="DD122" s="268"/>
      <c r="DE122" s="268"/>
      <c r="DF122" s="268"/>
      <c r="DG122" s="268"/>
      <c r="DH122" s="268"/>
      <c r="DI122" s="268"/>
      <c r="DJ122" s="268"/>
      <c r="DK122" s="268"/>
      <c r="DL122" s="268"/>
      <c r="DM122" s="268"/>
      <c r="DN122" s="268"/>
      <c r="DO122" s="268"/>
      <c r="DP122" s="268"/>
      <c r="DQ122" s="268"/>
      <c r="DR122" s="268"/>
      <c r="DS122" s="268"/>
      <c r="DT122" s="268"/>
      <c r="DU122" s="268"/>
      <c r="DV122" s="268"/>
      <c r="DW122" s="344"/>
      <c r="DX122" s="344"/>
      <c r="DY122" s="344"/>
      <c r="DZ122" s="344"/>
      <c r="EA122" s="344"/>
      <c r="EB122" s="344"/>
      <c r="EC122" s="344"/>
      <c r="ED122" s="344"/>
      <c r="EE122" s="344"/>
      <c r="EF122" s="344"/>
      <c r="EG122" s="344"/>
      <c r="EH122" s="344"/>
    </row>
    <row r="123" spans="1:138">
      <c r="A123" s="268"/>
      <c r="B123" s="342"/>
      <c r="E123" s="268"/>
      <c r="F123" s="268"/>
      <c r="G123" s="268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8"/>
      <c r="S123" s="268"/>
      <c r="T123" s="268"/>
      <c r="U123" s="268"/>
      <c r="V123" s="268"/>
      <c r="W123" s="268"/>
      <c r="X123" s="268"/>
      <c r="Y123" s="268"/>
      <c r="Z123" s="268"/>
      <c r="AA123" s="268"/>
      <c r="AB123" s="268"/>
      <c r="AC123" s="268"/>
      <c r="AD123" s="268"/>
      <c r="AE123" s="268"/>
      <c r="AF123" s="268"/>
      <c r="AG123" s="268"/>
      <c r="AH123" s="268"/>
      <c r="AI123" s="268"/>
      <c r="AJ123" s="268"/>
      <c r="AK123" s="268"/>
      <c r="AL123" s="268"/>
      <c r="AM123" s="268"/>
      <c r="AN123" s="268"/>
      <c r="AO123" s="268"/>
      <c r="AP123" s="268"/>
      <c r="AQ123" s="268"/>
      <c r="AR123" s="268"/>
      <c r="AS123" s="268"/>
      <c r="AT123" s="268"/>
      <c r="AU123" s="268"/>
      <c r="AV123" s="268"/>
      <c r="AW123" s="268"/>
      <c r="AX123" s="268"/>
      <c r="AY123" s="268"/>
      <c r="AZ123" s="268"/>
      <c r="BA123" s="268"/>
      <c r="BB123" s="268"/>
      <c r="BC123" s="268"/>
      <c r="BD123" s="268"/>
      <c r="BE123" s="268"/>
      <c r="BF123" s="268"/>
      <c r="BG123" s="268"/>
      <c r="BH123" s="268"/>
      <c r="BI123" s="268"/>
      <c r="BJ123" s="268"/>
      <c r="BK123" s="268"/>
      <c r="BL123" s="268"/>
      <c r="BM123" s="268"/>
      <c r="BN123" s="268"/>
      <c r="BO123" s="268"/>
      <c r="BP123" s="268"/>
      <c r="BQ123" s="268"/>
      <c r="BR123" s="268"/>
      <c r="BS123" s="268"/>
      <c r="BT123" s="268"/>
      <c r="BU123" s="268"/>
      <c r="BV123" s="268"/>
      <c r="BW123" s="268"/>
      <c r="BX123" s="268"/>
      <c r="BY123" s="268"/>
      <c r="BZ123" s="268"/>
      <c r="CA123" s="268"/>
      <c r="CB123" s="268"/>
      <c r="CC123" s="268"/>
      <c r="CD123" s="268"/>
      <c r="CE123" s="268"/>
      <c r="CF123" s="268"/>
      <c r="CG123" s="268"/>
      <c r="CH123" s="268"/>
      <c r="CI123" s="268"/>
      <c r="CJ123" s="268"/>
      <c r="CK123" s="268"/>
      <c r="CL123" s="268"/>
      <c r="CM123" s="268"/>
      <c r="CN123" s="268"/>
      <c r="CO123" s="268"/>
      <c r="CP123" s="268"/>
      <c r="CQ123" s="268"/>
      <c r="CR123" s="268"/>
      <c r="CS123" s="268"/>
      <c r="CT123" s="268"/>
      <c r="CU123" s="268"/>
      <c r="CV123" s="268"/>
      <c r="CW123" s="268"/>
      <c r="CX123" s="268"/>
      <c r="CY123" s="268"/>
      <c r="CZ123" s="268"/>
      <c r="DA123" s="268"/>
      <c r="DB123" s="268"/>
      <c r="DC123" s="268"/>
      <c r="DD123" s="268"/>
      <c r="DE123" s="268"/>
      <c r="DF123" s="268"/>
      <c r="DG123" s="268"/>
      <c r="DH123" s="268"/>
      <c r="DI123" s="268"/>
      <c r="DJ123" s="268"/>
      <c r="DK123" s="268"/>
      <c r="DL123" s="268"/>
      <c r="DM123" s="268"/>
      <c r="DN123" s="268"/>
      <c r="DO123" s="268"/>
      <c r="DP123" s="268"/>
      <c r="DQ123" s="268"/>
      <c r="DR123" s="268"/>
      <c r="DS123" s="268"/>
      <c r="DT123" s="268"/>
      <c r="DU123" s="268"/>
      <c r="DV123" s="268"/>
      <c r="DW123" s="344"/>
      <c r="DX123" s="344"/>
      <c r="DY123" s="344"/>
      <c r="DZ123" s="344"/>
      <c r="EA123" s="344"/>
      <c r="EB123" s="344"/>
      <c r="EC123" s="344"/>
      <c r="ED123" s="344"/>
      <c r="EE123" s="344"/>
      <c r="EF123" s="344"/>
      <c r="EG123" s="344"/>
      <c r="EH123" s="344"/>
    </row>
    <row r="124" spans="1:138">
      <c r="A124" s="268"/>
      <c r="B124" s="342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8"/>
      <c r="X124" s="268"/>
      <c r="Y124" s="268"/>
      <c r="Z124" s="268"/>
      <c r="AA124" s="268"/>
      <c r="AB124" s="268"/>
      <c r="AC124" s="268"/>
      <c r="AD124" s="268"/>
      <c r="AE124" s="268"/>
      <c r="AF124" s="268"/>
      <c r="AG124" s="268"/>
      <c r="AH124" s="268"/>
      <c r="AI124" s="268"/>
      <c r="AJ124" s="268"/>
      <c r="AK124" s="268"/>
      <c r="AL124" s="268"/>
      <c r="AM124" s="268"/>
      <c r="AN124" s="268"/>
      <c r="AO124" s="268"/>
      <c r="AP124" s="268"/>
      <c r="AQ124" s="268"/>
      <c r="AR124" s="268"/>
      <c r="AS124" s="268"/>
      <c r="AT124" s="268"/>
      <c r="AU124" s="268"/>
      <c r="AV124" s="268"/>
      <c r="AW124" s="268"/>
      <c r="AX124" s="268"/>
      <c r="AY124" s="268"/>
      <c r="AZ124" s="268"/>
      <c r="BA124" s="268"/>
      <c r="BB124" s="268"/>
      <c r="BC124" s="268"/>
      <c r="BD124" s="268"/>
      <c r="BE124" s="268"/>
      <c r="BF124" s="268"/>
      <c r="BG124" s="268"/>
      <c r="BH124" s="268"/>
      <c r="BI124" s="268"/>
      <c r="BJ124" s="268"/>
      <c r="BK124" s="268"/>
      <c r="BL124" s="268"/>
      <c r="BM124" s="268"/>
      <c r="BN124" s="268"/>
      <c r="BO124" s="268"/>
      <c r="BP124" s="268"/>
      <c r="BQ124" s="268"/>
      <c r="BR124" s="268"/>
      <c r="BS124" s="268"/>
      <c r="BT124" s="268"/>
      <c r="BU124" s="268"/>
      <c r="BV124" s="268"/>
      <c r="BW124" s="268"/>
      <c r="BX124" s="268"/>
      <c r="BY124" s="268"/>
      <c r="BZ124" s="268"/>
      <c r="CA124" s="268"/>
      <c r="CB124" s="268"/>
      <c r="CC124" s="268"/>
      <c r="CD124" s="268"/>
      <c r="CE124" s="268"/>
      <c r="CF124" s="268"/>
      <c r="CG124" s="268"/>
      <c r="CH124" s="268"/>
      <c r="CI124" s="268"/>
      <c r="CJ124" s="268"/>
      <c r="CK124" s="268"/>
      <c r="CL124" s="268"/>
      <c r="CM124" s="268"/>
      <c r="CN124" s="268"/>
      <c r="CO124" s="268"/>
      <c r="CP124" s="268"/>
      <c r="CQ124" s="268"/>
      <c r="CR124" s="268"/>
      <c r="CS124" s="268"/>
      <c r="CT124" s="268"/>
      <c r="CU124" s="268"/>
      <c r="CV124" s="268"/>
      <c r="CW124" s="268"/>
      <c r="CX124" s="268"/>
      <c r="CY124" s="268"/>
      <c r="CZ124" s="268"/>
      <c r="DA124" s="268"/>
      <c r="DB124" s="268"/>
      <c r="DC124" s="268"/>
      <c r="DD124" s="268"/>
      <c r="DE124" s="268"/>
      <c r="DF124" s="268"/>
      <c r="DG124" s="268"/>
      <c r="DH124" s="268"/>
      <c r="DI124" s="268"/>
      <c r="DJ124" s="268"/>
      <c r="DK124" s="268"/>
      <c r="DL124" s="268"/>
      <c r="DM124" s="268"/>
      <c r="DN124" s="268"/>
      <c r="DO124" s="268"/>
      <c r="DP124" s="268"/>
      <c r="DQ124" s="268"/>
      <c r="DR124" s="268"/>
      <c r="DS124" s="268"/>
      <c r="DT124" s="268"/>
      <c r="DU124" s="268"/>
      <c r="DV124" s="268"/>
      <c r="DW124" s="344"/>
      <c r="DX124" s="344"/>
      <c r="DY124" s="344"/>
      <c r="DZ124" s="344"/>
      <c r="EA124" s="344"/>
      <c r="EB124" s="344"/>
      <c r="EC124" s="344"/>
      <c r="ED124" s="344"/>
      <c r="EE124" s="344"/>
      <c r="EF124" s="344"/>
      <c r="EG124" s="344"/>
      <c r="EH124" s="344"/>
    </row>
    <row r="125" spans="1:138">
      <c r="A125" s="268"/>
      <c r="B125" s="342"/>
      <c r="E125" s="268"/>
      <c r="F125" s="268"/>
      <c r="G125" s="268"/>
      <c r="H125" s="268"/>
      <c r="I125" s="268"/>
      <c r="J125" s="268"/>
      <c r="K125" s="268"/>
      <c r="L125" s="268"/>
      <c r="M125" s="268"/>
      <c r="N125" s="268"/>
      <c r="O125" s="268"/>
      <c r="P125" s="268"/>
      <c r="Q125" s="268"/>
      <c r="R125" s="268"/>
      <c r="S125" s="268"/>
      <c r="T125" s="268"/>
      <c r="U125" s="268"/>
      <c r="V125" s="268"/>
      <c r="W125" s="268"/>
      <c r="X125" s="268"/>
      <c r="Y125" s="268"/>
      <c r="Z125" s="268"/>
      <c r="AA125" s="268"/>
      <c r="AB125" s="268"/>
      <c r="AC125" s="268"/>
      <c r="AD125" s="268"/>
      <c r="AE125" s="268"/>
      <c r="AF125" s="268"/>
      <c r="AG125" s="268"/>
      <c r="AH125" s="268"/>
      <c r="AI125" s="268"/>
      <c r="AJ125" s="268"/>
      <c r="AK125" s="268"/>
      <c r="AL125" s="268"/>
      <c r="AM125" s="268"/>
      <c r="AN125" s="268"/>
      <c r="AO125" s="268"/>
      <c r="AP125" s="268"/>
      <c r="AQ125" s="268"/>
      <c r="AR125" s="268"/>
      <c r="AS125" s="268"/>
      <c r="AT125" s="268"/>
      <c r="AU125" s="268"/>
      <c r="AV125" s="268"/>
      <c r="AW125" s="268"/>
      <c r="AX125" s="268"/>
      <c r="AY125" s="268"/>
      <c r="AZ125" s="268"/>
      <c r="BA125" s="268"/>
      <c r="BB125" s="268"/>
      <c r="BC125" s="268"/>
      <c r="BD125" s="268"/>
      <c r="BE125" s="268"/>
      <c r="BF125" s="268"/>
      <c r="BG125" s="268"/>
      <c r="BH125" s="268"/>
      <c r="BI125" s="268"/>
      <c r="BJ125" s="268"/>
      <c r="BK125" s="268"/>
      <c r="BL125" s="268"/>
      <c r="BM125" s="268"/>
      <c r="BN125" s="268"/>
      <c r="BO125" s="268"/>
      <c r="BP125" s="268"/>
      <c r="BQ125" s="268"/>
      <c r="BR125" s="268"/>
      <c r="BS125" s="268"/>
      <c r="BT125" s="268"/>
      <c r="BU125" s="268"/>
      <c r="BV125" s="268"/>
      <c r="BW125" s="268"/>
      <c r="BX125" s="268"/>
      <c r="BY125" s="268"/>
      <c r="BZ125" s="268"/>
      <c r="CA125" s="268"/>
      <c r="CB125" s="268"/>
      <c r="CC125" s="268"/>
      <c r="CD125" s="268"/>
      <c r="CE125" s="268"/>
      <c r="CF125" s="268"/>
      <c r="CG125" s="268"/>
      <c r="CH125" s="268"/>
      <c r="CI125" s="268"/>
      <c r="CJ125" s="268"/>
      <c r="CK125" s="268"/>
      <c r="CL125" s="268"/>
      <c r="CM125" s="268"/>
      <c r="CN125" s="268"/>
      <c r="CO125" s="268"/>
      <c r="CP125" s="268"/>
      <c r="CQ125" s="268"/>
      <c r="CR125" s="268"/>
      <c r="CS125" s="268"/>
      <c r="CT125" s="268"/>
      <c r="CU125" s="268"/>
      <c r="CV125" s="268"/>
      <c r="CW125" s="268"/>
      <c r="CX125" s="268"/>
      <c r="CY125" s="268"/>
      <c r="CZ125" s="268"/>
      <c r="DA125" s="268"/>
      <c r="DB125" s="268"/>
      <c r="DC125" s="268"/>
      <c r="DD125" s="268"/>
      <c r="DE125" s="268"/>
      <c r="DF125" s="268"/>
      <c r="DG125" s="268"/>
      <c r="DH125" s="268"/>
      <c r="DI125" s="268"/>
      <c r="DJ125" s="268"/>
      <c r="DK125" s="268"/>
      <c r="DL125" s="268"/>
      <c r="DM125" s="268"/>
      <c r="DN125" s="268"/>
      <c r="DO125" s="268"/>
      <c r="DP125" s="268"/>
      <c r="DQ125" s="268"/>
      <c r="DR125" s="268"/>
      <c r="DS125" s="268"/>
      <c r="DT125" s="268"/>
      <c r="DU125" s="268"/>
      <c r="DV125" s="268"/>
      <c r="DW125" s="344"/>
      <c r="DX125" s="344"/>
      <c r="DY125" s="344"/>
      <c r="DZ125" s="344"/>
      <c r="EA125" s="344"/>
      <c r="EB125" s="344"/>
      <c r="EC125" s="344"/>
      <c r="ED125" s="344"/>
      <c r="EE125" s="344"/>
      <c r="EF125" s="344"/>
      <c r="EG125" s="344"/>
      <c r="EH125" s="344"/>
    </row>
    <row r="126" spans="1:138">
      <c r="A126" s="268"/>
      <c r="B126" s="342"/>
      <c r="C126" s="339" t="s">
        <v>341</v>
      </c>
      <c r="D126" s="515"/>
      <c r="E126" s="515">
        <f t="shared" ref="E126:BX126" si="49">-(E6+E91)</f>
        <v>0</v>
      </c>
      <c r="F126" s="515">
        <f t="shared" si="49"/>
        <v>0</v>
      </c>
      <c r="G126" s="515">
        <f t="shared" si="49"/>
        <v>0</v>
      </c>
      <c r="H126" s="515">
        <f t="shared" si="49"/>
        <v>0</v>
      </c>
      <c r="I126" s="515">
        <f t="shared" si="49"/>
        <v>0</v>
      </c>
      <c r="J126" s="515">
        <f t="shared" si="49"/>
        <v>0</v>
      </c>
      <c r="K126" s="515">
        <f t="shared" si="49"/>
        <v>0</v>
      </c>
      <c r="L126" s="515">
        <f t="shared" si="49"/>
        <v>0</v>
      </c>
      <c r="M126" s="515">
        <f t="shared" si="49"/>
        <v>0</v>
      </c>
      <c r="N126" s="515">
        <f t="shared" si="49"/>
        <v>0</v>
      </c>
      <c r="O126" s="515">
        <f t="shared" si="49"/>
        <v>0</v>
      </c>
      <c r="P126" s="515">
        <f t="shared" si="49"/>
        <v>0</v>
      </c>
      <c r="Q126" s="515">
        <f t="shared" si="49"/>
        <v>0</v>
      </c>
      <c r="R126" s="515">
        <f t="shared" si="49"/>
        <v>0</v>
      </c>
      <c r="S126" s="515">
        <f t="shared" si="49"/>
        <v>-1200000</v>
      </c>
      <c r="T126" s="515">
        <f t="shared" si="49"/>
        <v>-15000000</v>
      </c>
      <c r="U126" s="515">
        <f t="shared" si="49"/>
        <v>-3700000</v>
      </c>
      <c r="V126" s="515">
        <f t="shared" si="49"/>
        <v>0</v>
      </c>
      <c r="W126" s="515">
        <f t="shared" si="49"/>
        <v>0</v>
      </c>
      <c r="X126" s="515">
        <f t="shared" si="49"/>
        <v>0</v>
      </c>
      <c r="Y126" s="515">
        <f t="shared" si="49"/>
        <v>0</v>
      </c>
      <c r="Z126" s="515">
        <f t="shared" si="49"/>
        <v>0</v>
      </c>
      <c r="AA126" s="515">
        <f t="shared" si="49"/>
        <v>0</v>
      </c>
      <c r="AB126" s="515">
        <f t="shared" si="49"/>
        <v>0</v>
      </c>
      <c r="AC126" s="515">
        <f t="shared" si="49"/>
        <v>19900000</v>
      </c>
      <c r="AD126" s="515">
        <f t="shared" si="49"/>
        <v>0</v>
      </c>
      <c r="AE126" s="515">
        <f t="shared" si="49"/>
        <v>0</v>
      </c>
      <c r="AF126" s="515">
        <f t="shared" si="49"/>
        <v>0</v>
      </c>
      <c r="AG126" s="515">
        <f t="shared" si="49"/>
        <v>0</v>
      </c>
      <c r="AH126" s="515">
        <f t="shared" si="49"/>
        <v>0</v>
      </c>
      <c r="AI126" s="515">
        <f t="shared" si="49"/>
        <v>0</v>
      </c>
      <c r="AJ126" s="515">
        <f t="shared" si="49"/>
        <v>0</v>
      </c>
      <c r="AK126" s="515">
        <f t="shared" si="49"/>
        <v>0</v>
      </c>
      <c r="AL126" s="515">
        <f t="shared" si="49"/>
        <v>0</v>
      </c>
      <c r="AM126" s="515">
        <f t="shared" si="49"/>
        <v>0</v>
      </c>
      <c r="AN126" s="515">
        <f t="shared" si="49"/>
        <v>0</v>
      </c>
      <c r="AO126" s="515">
        <f t="shared" si="49"/>
        <v>0</v>
      </c>
      <c r="AP126" s="515">
        <f t="shared" si="49"/>
        <v>0</v>
      </c>
      <c r="AQ126" s="515">
        <f t="shared" si="49"/>
        <v>0</v>
      </c>
      <c r="AR126" s="515">
        <f t="shared" si="49"/>
        <v>0</v>
      </c>
      <c r="AS126" s="515">
        <f t="shared" si="49"/>
        <v>0</v>
      </c>
      <c r="AT126" s="515">
        <f t="shared" si="49"/>
        <v>0</v>
      </c>
      <c r="AU126" s="515">
        <f t="shared" si="49"/>
        <v>0</v>
      </c>
      <c r="AV126" s="515">
        <f t="shared" si="49"/>
        <v>0</v>
      </c>
      <c r="AW126" s="515">
        <f t="shared" si="49"/>
        <v>0</v>
      </c>
      <c r="AX126" s="515">
        <f t="shared" si="49"/>
        <v>0</v>
      </c>
      <c r="AY126" s="515">
        <f t="shared" si="49"/>
        <v>0</v>
      </c>
      <c r="AZ126" s="515">
        <f t="shared" si="49"/>
        <v>0</v>
      </c>
      <c r="BA126" s="515">
        <f t="shared" si="49"/>
        <v>0</v>
      </c>
      <c r="BB126" s="515">
        <f t="shared" si="49"/>
        <v>0</v>
      </c>
      <c r="BC126" s="515">
        <f t="shared" si="49"/>
        <v>0</v>
      </c>
      <c r="BD126" s="515">
        <f t="shared" si="49"/>
        <v>0</v>
      </c>
      <c r="BE126" s="515">
        <f t="shared" si="49"/>
        <v>0</v>
      </c>
      <c r="BF126" s="515">
        <f t="shared" si="49"/>
        <v>0</v>
      </c>
      <c r="BG126" s="515">
        <f t="shared" si="49"/>
        <v>0</v>
      </c>
      <c r="BH126" s="515">
        <f t="shared" si="49"/>
        <v>0</v>
      </c>
      <c r="BI126" s="515">
        <f t="shared" si="49"/>
        <v>0</v>
      </c>
      <c r="BJ126" s="515">
        <f t="shared" si="49"/>
        <v>0</v>
      </c>
      <c r="BK126" s="515">
        <f t="shared" si="49"/>
        <v>0</v>
      </c>
      <c r="BL126" s="515">
        <f t="shared" si="49"/>
        <v>0</v>
      </c>
      <c r="BM126" s="515">
        <f t="shared" si="49"/>
        <v>0</v>
      </c>
      <c r="BN126" s="515">
        <f t="shared" si="49"/>
        <v>0</v>
      </c>
      <c r="BO126" s="515">
        <f t="shared" si="49"/>
        <v>0</v>
      </c>
      <c r="BP126" s="515">
        <f t="shared" si="49"/>
        <v>0</v>
      </c>
      <c r="BQ126" s="515">
        <f t="shared" si="49"/>
        <v>0</v>
      </c>
      <c r="BR126" s="515">
        <f t="shared" si="49"/>
        <v>0</v>
      </c>
      <c r="BS126" s="515">
        <f t="shared" si="49"/>
        <v>0</v>
      </c>
      <c r="BT126" s="515">
        <f t="shared" si="49"/>
        <v>0</v>
      </c>
      <c r="BU126" s="515">
        <f t="shared" si="49"/>
        <v>0</v>
      </c>
      <c r="BV126" s="515">
        <f t="shared" si="49"/>
        <v>0</v>
      </c>
      <c r="BW126" s="515">
        <f t="shared" si="49"/>
        <v>0</v>
      </c>
      <c r="BX126" s="515">
        <f t="shared" si="49"/>
        <v>0</v>
      </c>
      <c r="BY126" s="268"/>
      <c r="BZ126" s="268"/>
      <c r="CA126" s="268"/>
      <c r="CB126" s="268"/>
      <c r="CC126" s="268"/>
      <c r="CD126" s="268"/>
      <c r="CE126" s="268"/>
      <c r="CF126" s="268"/>
      <c r="CG126" s="268"/>
      <c r="CH126" s="268"/>
      <c r="CI126" s="268"/>
      <c r="CJ126" s="268"/>
      <c r="CK126" s="268"/>
      <c r="CL126" s="268"/>
      <c r="CM126" s="268"/>
      <c r="CN126" s="268"/>
      <c r="CO126" s="268"/>
      <c r="CP126" s="268"/>
      <c r="CQ126" s="268"/>
      <c r="CR126" s="268"/>
      <c r="CS126" s="268"/>
      <c r="CT126" s="268"/>
      <c r="CU126" s="268"/>
      <c r="CV126" s="268"/>
      <c r="CW126" s="268"/>
      <c r="CX126" s="268"/>
      <c r="CY126" s="268"/>
      <c r="CZ126" s="268"/>
      <c r="DA126" s="268"/>
      <c r="DB126" s="268"/>
      <c r="DC126" s="268"/>
      <c r="DD126" s="268"/>
      <c r="DE126" s="268"/>
      <c r="DF126" s="268"/>
      <c r="DG126" s="268"/>
      <c r="DH126" s="268"/>
      <c r="DI126" s="268"/>
      <c r="DJ126" s="268"/>
      <c r="DK126" s="268"/>
      <c r="DL126" s="268"/>
      <c r="DM126" s="268"/>
      <c r="DN126" s="268"/>
      <c r="DO126" s="268"/>
      <c r="DP126" s="268"/>
      <c r="DQ126" s="268"/>
      <c r="DR126" s="268"/>
      <c r="DS126" s="268"/>
      <c r="DT126" s="268"/>
      <c r="DU126" s="268"/>
      <c r="DV126" s="268"/>
      <c r="DW126" s="344"/>
      <c r="DX126" s="344"/>
      <c r="DY126" s="344"/>
      <c r="DZ126" s="344"/>
      <c r="EA126" s="344"/>
      <c r="EB126" s="344"/>
      <c r="EC126" s="344"/>
      <c r="ED126" s="344"/>
      <c r="EE126" s="344"/>
      <c r="EF126" s="344"/>
      <c r="EG126" s="344"/>
      <c r="EH126" s="344"/>
    </row>
    <row r="127" spans="1:138">
      <c r="A127" s="268"/>
      <c r="B127" s="342"/>
      <c r="C127" s="339" t="s">
        <v>342</v>
      </c>
      <c r="D127" s="520"/>
      <c r="E127" s="515"/>
      <c r="F127" s="515"/>
      <c r="G127" s="515"/>
      <c r="H127" s="515"/>
      <c r="I127" s="515"/>
      <c r="J127" s="515"/>
      <c r="K127" s="515"/>
      <c r="L127" s="515"/>
      <c r="M127" s="515"/>
      <c r="N127" s="515"/>
      <c r="O127" s="515"/>
      <c r="P127" s="515">
        <f>-23199170</f>
        <v>-23199170</v>
      </c>
      <c r="Q127" s="515"/>
      <c r="R127" s="515"/>
      <c r="S127" s="515"/>
      <c r="T127" s="515"/>
      <c r="U127" s="515"/>
      <c r="V127" s="515"/>
      <c r="W127" s="515"/>
      <c r="X127" s="515"/>
      <c r="Y127" s="515"/>
      <c r="Z127" s="515"/>
      <c r="AA127" s="515"/>
      <c r="AB127" s="515"/>
      <c r="AC127" s="515"/>
      <c r="AD127" s="515"/>
      <c r="AE127" s="515"/>
      <c r="AF127" s="515"/>
      <c r="AG127" s="515"/>
      <c r="AH127" s="515"/>
      <c r="AI127" s="515"/>
      <c r="AJ127" s="515"/>
      <c r="AK127" s="515"/>
      <c r="AL127" s="515"/>
      <c r="AM127" s="515"/>
      <c r="AN127" s="515"/>
      <c r="AO127" s="515"/>
      <c r="AP127" s="515"/>
      <c r="AQ127" s="515"/>
      <c r="AR127" s="515"/>
      <c r="AS127" s="515"/>
      <c r="AT127" s="515"/>
      <c r="AU127" s="515"/>
      <c r="AV127" s="515"/>
      <c r="AW127" s="515"/>
      <c r="AX127" s="515"/>
      <c r="AY127" s="515"/>
      <c r="AZ127" s="515"/>
      <c r="BA127" s="515"/>
      <c r="BB127" s="515"/>
      <c r="BC127" s="515"/>
      <c r="BD127" s="515"/>
      <c r="BE127" s="515"/>
      <c r="BF127" s="515"/>
      <c r="BG127" s="515"/>
      <c r="BH127" s="515"/>
      <c r="BI127" s="515"/>
      <c r="BJ127" s="515"/>
      <c r="BK127" s="515"/>
      <c r="BL127" s="515"/>
      <c r="BM127" s="515"/>
      <c r="BN127" s="515"/>
      <c r="BO127" s="515"/>
      <c r="BP127" s="515"/>
      <c r="BQ127" s="515"/>
      <c r="BR127" s="515"/>
      <c r="BS127" s="515"/>
      <c r="BT127" s="515"/>
      <c r="BU127" s="515"/>
      <c r="BV127" s="515"/>
      <c r="BW127" s="515"/>
      <c r="BX127" s="515"/>
      <c r="BY127" s="268"/>
      <c r="BZ127" s="268"/>
      <c r="CA127" s="268"/>
      <c r="CB127" s="268"/>
      <c r="CC127" s="268"/>
      <c r="CD127" s="268"/>
      <c r="CE127" s="268"/>
      <c r="CF127" s="268"/>
      <c r="CG127" s="268"/>
      <c r="CH127" s="268"/>
      <c r="CI127" s="268"/>
      <c r="CJ127" s="268"/>
      <c r="CK127" s="268"/>
      <c r="CL127" s="268"/>
      <c r="CM127" s="268"/>
      <c r="CN127" s="268"/>
      <c r="CO127" s="268"/>
      <c r="CP127" s="268"/>
      <c r="CQ127" s="268"/>
      <c r="CR127" s="268"/>
      <c r="CS127" s="268"/>
      <c r="CT127" s="268"/>
      <c r="CU127" s="268"/>
      <c r="CV127" s="268"/>
      <c r="CW127" s="268"/>
      <c r="CX127" s="268"/>
      <c r="CY127" s="268"/>
      <c r="CZ127" s="268"/>
      <c r="DA127" s="268"/>
      <c r="DB127" s="268"/>
      <c r="DC127" s="268"/>
      <c r="DD127" s="268"/>
      <c r="DE127" s="268"/>
      <c r="DF127" s="268"/>
      <c r="DG127" s="268"/>
      <c r="DH127" s="268"/>
      <c r="DI127" s="268"/>
      <c r="DJ127" s="268"/>
      <c r="DK127" s="268"/>
      <c r="DL127" s="268"/>
      <c r="DM127" s="268"/>
      <c r="DN127" s="268"/>
      <c r="DO127" s="268"/>
      <c r="DP127" s="268"/>
      <c r="DQ127" s="268"/>
      <c r="DR127" s="268"/>
      <c r="DS127" s="268"/>
      <c r="DT127" s="268"/>
      <c r="DU127" s="268"/>
      <c r="DV127" s="268"/>
      <c r="DW127" s="344"/>
      <c r="DX127" s="344"/>
      <c r="DY127" s="344"/>
      <c r="DZ127" s="344"/>
      <c r="EA127" s="344"/>
      <c r="EB127" s="344"/>
      <c r="EC127" s="344"/>
      <c r="ED127" s="344"/>
      <c r="EE127" s="344"/>
      <c r="EF127" s="344"/>
      <c r="EG127" s="344"/>
      <c r="EH127" s="344"/>
    </row>
    <row r="128" spans="1:138">
      <c r="A128" s="268"/>
      <c r="B128" s="342"/>
      <c r="C128" s="339" t="s">
        <v>333</v>
      </c>
      <c r="D128" s="520"/>
      <c r="E128" s="515">
        <f t="shared" ref="E128:BX128" si="50">-E56</f>
        <v>0</v>
      </c>
      <c r="F128" s="515">
        <f t="shared" si="50"/>
        <v>0</v>
      </c>
      <c r="G128" s="515">
        <f t="shared" si="50"/>
        <v>0</v>
      </c>
      <c r="H128" s="515">
        <f t="shared" si="50"/>
        <v>0</v>
      </c>
      <c r="I128" s="515">
        <f t="shared" si="50"/>
        <v>0</v>
      </c>
      <c r="J128" s="515">
        <f t="shared" si="50"/>
        <v>0</v>
      </c>
      <c r="K128" s="515">
        <f t="shared" si="50"/>
        <v>0</v>
      </c>
      <c r="L128" s="515">
        <f t="shared" si="50"/>
        <v>0</v>
      </c>
      <c r="M128" s="515">
        <f t="shared" si="50"/>
        <v>0</v>
      </c>
      <c r="N128" s="515">
        <f t="shared" si="50"/>
        <v>0</v>
      </c>
      <c r="O128" s="515">
        <f t="shared" si="50"/>
        <v>0</v>
      </c>
      <c r="P128" s="515">
        <f t="shared" si="50"/>
        <v>0</v>
      </c>
      <c r="Q128" s="515">
        <f t="shared" si="50"/>
        <v>0</v>
      </c>
      <c r="R128" s="515">
        <f t="shared" si="50"/>
        <v>0</v>
      </c>
      <c r="S128" s="515">
        <f t="shared" si="50"/>
        <v>0</v>
      </c>
      <c r="T128" s="515">
        <f t="shared" si="50"/>
        <v>0</v>
      </c>
      <c r="U128" s="515">
        <f t="shared" si="50"/>
        <v>0</v>
      </c>
      <c r="V128" s="515">
        <f t="shared" si="50"/>
        <v>0</v>
      </c>
      <c r="W128" s="515">
        <f t="shared" si="50"/>
        <v>0</v>
      </c>
      <c r="X128" s="515">
        <f t="shared" si="50"/>
        <v>0</v>
      </c>
      <c r="Y128" s="515">
        <f t="shared" si="50"/>
        <v>0</v>
      </c>
      <c r="Z128" s="515">
        <f t="shared" si="50"/>
        <v>0</v>
      </c>
      <c r="AA128" s="515">
        <f t="shared" si="50"/>
        <v>0</v>
      </c>
      <c r="AB128" s="515">
        <f t="shared" si="50"/>
        <v>0</v>
      </c>
      <c r="AC128" s="515">
        <f t="shared" si="50"/>
        <v>1801250.0000000002</v>
      </c>
      <c r="AD128" s="515">
        <f t="shared" si="50"/>
        <v>0</v>
      </c>
      <c r="AE128" s="515">
        <f t="shared" si="50"/>
        <v>0</v>
      </c>
      <c r="AF128" s="515">
        <f t="shared" si="50"/>
        <v>0</v>
      </c>
      <c r="AG128" s="515">
        <f t="shared" si="50"/>
        <v>0</v>
      </c>
      <c r="AH128" s="515">
        <f t="shared" si="50"/>
        <v>0</v>
      </c>
      <c r="AI128" s="515">
        <f t="shared" si="50"/>
        <v>0</v>
      </c>
      <c r="AJ128" s="515">
        <f t="shared" si="50"/>
        <v>0</v>
      </c>
      <c r="AK128" s="515">
        <f t="shared" si="50"/>
        <v>0</v>
      </c>
      <c r="AL128" s="515">
        <f t="shared" si="50"/>
        <v>0</v>
      </c>
      <c r="AM128" s="515">
        <f t="shared" si="50"/>
        <v>0</v>
      </c>
      <c r="AN128" s="515">
        <f t="shared" si="50"/>
        <v>0</v>
      </c>
      <c r="AO128" s="515">
        <f t="shared" si="50"/>
        <v>0</v>
      </c>
      <c r="AP128" s="515">
        <f t="shared" si="50"/>
        <v>0</v>
      </c>
      <c r="AQ128" s="515">
        <f t="shared" si="50"/>
        <v>0</v>
      </c>
      <c r="AR128" s="515">
        <f t="shared" si="50"/>
        <v>0</v>
      </c>
      <c r="AS128" s="515">
        <f t="shared" si="50"/>
        <v>0</v>
      </c>
      <c r="AT128" s="515">
        <f t="shared" si="50"/>
        <v>0</v>
      </c>
      <c r="AU128" s="515">
        <f t="shared" si="50"/>
        <v>0</v>
      </c>
      <c r="AV128" s="515">
        <f t="shared" si="50"/>
        <v>0</v>
      </c>
      <c r="AW128" s="515">
        <f t="shared" si="50"/>
        <v>0</v>
      </c>
      <c r="AX128" s="515">
        <f t="shared" si="50"/>
        <v>0</v>
      </c>
      <c r="AY128" s="515">
        <f t="shared" si="50"/>
        <v>0</v>
      </c>
      <c r="AZ128" s="515">
        <f t="shared" si="50"/>
        <v>0</v>
      </c>
      <c r="BA128" s="515">
        <f t="shared" si="50"/>
        <v>0</v>
      </c>
      <c r="BB128" s="515">
        <f t="shared" si="50"/>
        <v>0</v>
      </c>
      <c r="BC128" s="515">
        <f t="shared" si="50"/>
        <v>0</v>
      </c>
      <c r="BD128" s="515">
        <f t="shared" si="50"/>
        <v>0</v>
      </c>
      <c r="BE128" s="515">
        <f t="shared" si="50"/>
        <v>0</v>
      </c>
      <c r="BF128" s="515">
        <f t="shared" si="50"/>
        <v>0</v>
      </c>
      <c r="BG128" s="515">
        <f t="shared" si="50"/>
        <v>0</v>
      </c>
      <c r="BH128" s="515">
        <f t="shared" si="50"/>
        <v>0</v>
      </c>
      <c r="BI128" s="515">
        <f t="shared" si="50"/>
        <v>0</v>
      </c>
      <c r="BJ128" s="515">
        <f t="shared" si="50"/>
        <v>0</v>
      </c>
      <c r="BK128" s="515">
        <f t="shared" si="50"/>
        <v>0</v>
      </c>
      <c r="BL128" s="515">
        <f t="shared" si="50"/>
        <v>0</v>
      </c>
      <c r="BM128" s="515">
        <f t="shared" si="50"/>
        <v>0</v>
      </c>
      <c r="BN128" s="515">
        <f t="shared" si="50"/>
        <v>0</v>
      </c>
      <c r="BO128" s="515">
        <f t="shared" si="50"/>
        <v>0</v>
      </c>
      <c r="BP128" s="515">
        <f t="shared" si="50"/>
        <v>0</v>
      </c>
      <c r="BQ128" s="515">
        <f t="shared" si="50"/>
        <v>0</v>
      </c>
      <c r="BR128" s="515">
        <f t="shared" si="50"/>
        <v>0</v>
      </c>
      <c r="BS128" s="515">
        <f t="shared" si="50"/>
        <v>0</v>
      </c>
      <c r="BT128" s="515">
        <f t="shared" si="50"/>
        <v>0</v>
      </c>
      <c r="BU128" s="515">
        <f t="shared" si="50"/>
        <v>0</v>
      </c>
      <c r="BV128" s="515">
        <f t="shared" si="50"/>
        <v>0</v>
      </c>
      <c r="BW128" s="515">
        <f t="shared" si="50"/>
        <v>0</v>
      </c>
      <c r="BX128" s="515">
        <f t="shared" si="50"/>
        <v>0</v>
      </c>
      <c r="BY128" s="268"/>
      <c r="BZ128" s="268"/>
      <c r="CA128" s="268"/>
      <c r="CB128" s="268"/>
      <c r="CC128" s="268"/>
      <c r="CD128" s="268"/>
      <c r="CE128" s="268"/>
      <c r="CF128" s="268"/>
      <c r="CG128" s="268"/>
      <c r="CH128" s="268"/>
      <c r="CI128" s="268"/>
      <c r="CJ128" s="268"/>
      <c r="CK128" s="268"/>
      <c r="CL128" s="268"/>
      <c r="CM128" s="268"/>
      <c r="CN128" s="268"/>
      <c r="CO128" s="268"/>
      <c r="CP128" s="268"/>
      <c r="CQ128" s="268"/>
      <c r="CR128" s="268"/>
      <c r="CS128" s="268"/>
      <c r="CT128" s="268"/>
      <c r="CU128" s="268"/>
      <c r="CV128" s="268"/>
      <c r="CW128" s="268"/>
      <c r="CX128" s="268"/>
      <c r="CY128" s="268"/>
      <c r="CZ128" s="268"/>
      <c r="DA128" s="268"/>
      <c r="DB128" s="268"/>
      <c r="DC128" s="268"/>
      <c r="DD128" s="268"/>
      <c r="DE128" s="268"/>
      <c r="DF128" s="268"/>
      <c r="DG128" s="268"/>
      <c r="DH128" s="268"/>
      <c r="DI128" s="268"/>
      <c r="DJ128" s="268"/>
      <c r="DK128" s="268"/>
      <c r="DL128" s="268"/>
      <c r="DM128" s="268"/>
      <c r="DN128" s="268"/>
      <c r="DO128" s="268"/>
      <c r="DP128" s="268"/>
      <c r="DQ128" s="268"/>
      <c r="DR128" s="268"/>
      <c r="DS128" s="268"/>
      <c r="DT128" s="268"/>
      <c r="DU128" s="268"/>
      <c r="DV128" s="268"/>
      <c r="DW128" s="344"/>
      <c r="DX128" s="344"/>
      <c r="DY128" s="344"/>
      <c r="DZ128" s="344"/>
      <c r="EA128" s="344"/>
      <c r="EB128" s="344"/>
      <c r="EC128" s="344"/>
      <c r="ED128" s="344"/>
      <c r="EE128" s="344"/>
      <c r="EF128" s="344"/>
      <c r="EG128" s="344"/>
      <c r="EH128" s="344"/>
    </row>
    <row r="129" spans="1:138">
      <c r="A129" s="268"/>
      <c r="B129" s="342"/>
      <c r="C129" s="339" t="s">
        <v>334</v>
      </c>
      <c r="D129" s="520"/>
      <c r="E129" s="515"/>
      <c r="F129" s="515"/>
      <c r="G129" s="515"/>
      <c r="H129" s="515"/>
      <c r="I129" s="515"/>
      <c r="J129" s="515"/>
      <c r="K129" s="515"/>
      <c r="L129" s="515"/>
      <c r="M129" s="515"/>
      <c r="N129" s="515"/>
      <c r="O129" s="515"/>
      <c r="P129" s="515"/>
      <c r="Q129" s="515"/>
      <c r="R129" s="515"/>
      <c r="S129" s="515"/>
      <c r="T129" s="515"/>
      <c r="U129" s="515"/>
      <c r="V129" s="515"/>
      <c r="W129" s="515"/>
      <c r="X129" s="515"/>
      <c r="Y129" s="515"/>
      <c r="Z129" s="515"/>
      <c r="AA129" s="515"/>
      <c r="AB129" s="515"/>
      <c r="AC129" s="515"/>
      <c r="AD129" s="515"/>
      <c r="AE129" s="515"/>
      <c r="AF129" s="515"/>
      <c r="AG129" s="515"/>
      <c r="AH129" s="515"/>
      <c r="AI129" s="515"/>
      <c r="AJ129" s="515"/>
      <c r="AK129" s="515"/>
      <c r="AL129" s="515"/>
      <c r="AM129" s="515"/>
      <c r="AN129" s="515"/>
      <c r="AO129" s="515"/>
      <c r="AP129" s="515"/>
      <c r="AQ129" s="515"/>
      <c r="AR129" s="515"/>
      <c r="AS129" s="515"/>
      <c r="AT129" s="515"/>
      <c r="AU129" s="515"/>
      <c r="AV129" s="515"/>
      <c r="AW129" s="515"/>
      <c r="AX129" s="515"/>
      <c r="AY129" s="515"/>
      <c r="AZ129" s="515"/>
      <c r="BA129" s="515"/>
      <c r="BB129" s="515"/>
      <c r="BC129" s="515"/>
      <c r="BD129" s="515"/>
      <c r="BE129" s="515"/>
      <c r="BF129" s="515"/>
      <c r="BG129" s="515"/>
      <c r="BH129" s="515"/>
      <c r="BI129" s="515"/>
      <c r="BJ129" s="515"/>
      <c r="BK129" s="515"/>
      <c r="BL129" s="515"/>
      <c r="BM129" s="515"/>
      <c r="BN129" s="515"/>
      <c r="BO129" s="515"/>
      <c r="BP129" s="515"/>
      <c r="BQ129" s="515"/>
      <c r="BR129" s="515"/>
      <c r="BS129" s="515"/>
      <c r="BT129" s="515"/>
      <c r="BU129" s="515"/>
      <c r="BV129" s="515"/>
      <c r="BW129" s="515"/>
      <c r="BX129" s="515" t="e">
        <f>IF(D104&gt;0.25,(BX99-BX107)*D130,BX99*D130)</f>
        <v>#VALUE!</v>
      </c>
      <c r="BY129" s="268"/>
      <c r="BZ129" s="268"/>
      <c r="CA129" s="268"/>
      <c r="CB129" s="268"/>
      <c r="CC129" s="268"/>
      <c r="CD129" s="268"/>
      <c r="CE129" s="268"/>
      <c r="CF129" s="268"/>
      <c r="CG129" s="268"/>
      <c r="CH129" s="268"/>
      <c r="CI129" s="268"/>
      <c r="CJ129" s="268"/>
      <c r="CK129" s="268"/>
      <c r="CL129" s="268"/>
      <c r="CM129" s="268"/>
      <c r="CN129" s="268"/>
      <c r="CO129" s="268"/>
      <c r="CP129" s="268"/>
      <c r="CQ129" s="268"/>
      <c r="CR129" s="268"/>
      <c r="CS129" s="268"/>
      <c r="CT129" s="268"/>
      <c r="CU129" s="268"/>
      <c r="CV129" s="268"/>
      <c r="CW129" s="268"/>
      <c r="CX129" s="268"/>
      <c r="CY129" s="268"/>
      <c r="CZ129" s="268"/>
      <c r="DA129" s="268"/>
      <c r="DB129" s="268"/>
      <c r="DC129" s="268"/>
      <c r="DD129" s="268"/>
      <c r="DE129" s="268"/>
      <c r="DF129" s="268"/>
      <c r="DG129" s="268"/>
      <c r="DH129" s="268"/>
      <c r="DI129" s="268"/>
      <c r="DJ129" s="268"/>
      <c r="DK129" s="268"/>
      <c r="DL129" s="268"/>
      <c r="DM129" s="268"/>
      <c r="DN129" s="268"/>
      <c r="DO129" s="268"/>
      <c r="DP129" s="268"/>
      <c r="DQ129" s="268"/>
      <c r="DR129" s="268"/>
      <c r="DS129" s="268"/>
      <c r="DT129" s="268"/>
      <c r="DU129" s="268"/>
      <c r="DV129" s="268"/>
      <c r="DW129" s="344"/>
      <c r="DX129" s="344"/>
      <c r="DY129" s="344"/>
      <c r="DZ129" s="344"/>
      <c r="EA129" s="344"/>
      <c r="EB129" s="344"/>
      <c r="EC129" s="344"/>
      <c r="ED129" s="344"/>
      <c r="EE129" s="344"/>
      <c r="EF129" s="344"/>
      <c r="EG129" s="344"/>
      <c r="EH129" s="344"/>
    </row>
    <row r="130" spans="1:138">
      <c r="A130" s="268"/>
      <c r="B130" s="342"/>
      <c r="C130" s="517" t="s">
        <v>335</v>
      </c>
      <c r="D130" s="520">
        <v>0</v>
      </c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7"/>
      <c r="AI130" s="287"/>
      <c r="AJ130" s="287"/>
      <c r="AK130" s="287"/>
      <c r="AL130" s="287"/>
      <c r="AM130" s="287"/>
      <c r="AN130" s="287"/>
      <c r="AO130" s="287"/>
      <c r="AP130" s="287"/>
      <c r="AQ130" s="287"/>
      <c r="AR130" s="287"/>
      <c r="AS130" s="287"/>
      <c r="AT130" s="287"/>
      <c r="AU130" s="287"/>
      <c r="AV130" s="287"/>
      <c r="AW130" s="287"/>
      <c r="AX130" s="287"/>
      <c r="AY130" s="287"/>
      <c r="AZ130" s="287"/>
      <c r="BA130" s="287"/>
      <c r="BB130" s="287"/>
      <c r="BC130" s="287"/>
      <c r="BD130" s="287"/>
      <c r="BE130" s="287"/>
      <c r="BF130" s="287"/>
      <c r="BG130" s="287"/>
      <c r="BH130" s="287"/>
      <c r="BI130" s="287"/>
      <c r="BJ130" s="287"/>
      <c r="BK130" s="287"/>
      <c r="BL130" s="287"/>
      <c r="BM130" s="287"/>
      <c r="BN130" s="287"/>
      <c r="BO130" s="287"/>
      <c r="BP130" s="287"/>
      <c r="BQ130" s="287"/>
      <c r="BR130" s="287"/>
      <c r="BS130" s="287"/>
      <c r="BT130" s="287"/>
      <c r="BU130" s="287"/>
      <c r="BV130" s="287"/>
      <c r="BW130" s="287"/>
      <c r="BX130" s="287"/>
      <c r="BY130" s="268"/>
      <c r="BZ130" s="268"/>
      <c r="CA130" s="268"/>
      <c r="CB130" s="268"/>
      <c r="CC130" s="268"/>
      <c r="CD130" s="268"/>
      <c r="CE130" s="268"/>
      <c r="CF130" s="268"/>
      <c r="CG130" s="268"/>
      <c r="CH130" s="268"/>
      <c r="CI130" s="268"/>
      <c r="CJ130" s="268"/>
      <c r="CK130" s="268"/>
      <c r="CL130" s="268"/>
      <c r="CM130" s="268"/>
      <c r="CN130" s="268"/>
      <c r="CO130" s="268"/>
      <c r="CP130" s="268"/>
      <c r="CQ130" s="268"/>
      <c r="CR130" s="268"/>
      <c r="CS130" s="268"/>
      <c r="CT130" s="268"/>
      <c r="CU130" s="268"/>
      <c r="CV130" s="268"/>
      <c r="CW130" s="268"/>
      <c r="CX130" s="268"/>
      <c r="CY130" s="268"/>
      <c r="CZ130" s="268"/>
      <c r="DA130" s="268"/>
      <c r="DB130" s="268"/>
      <c r="DC130" s="268"/>
      <c r="DD130" s="268"/>
      <c r="DE130" s="268"/>
      <c r="DF130" s="268"/>
      <c r="DG130" s="268"/>
      <c r="DH130" s="268"/>
      <c r="DI130" s="268"/>
      <c r="DJ130" s="268"/>
      <c r="DK130" s="268"/>
      <c r="DL130" s="268"/>
      <c r="DM130" s="268"/>
      <c r="DN130" s="268"/>
      <c r="DO130" s="268"/>
      <c r="DP130" s="268"/>
      <c r="DQ130" s="268"/>
      <c r="DR130" s="268"/>
      <c r="DS130" s="268"/>
      <c r="DT130" s="268"/>
      <c r="DU130" s="268"/>
      <c r="DV130" s="268"/>
      <c r="DW130" s="344"/>
      <c r="DX130" s="344"/>
      <c r="DY130" s="344"/>
      <c r="DZ130" s="344"/>
      <c r="EA130" s="344"/>
      <c r="EB130" s="344"/>
      <c r="EC130" s="344"/>
      <c r="ED130" s="344"/>
      <c r="EE130" s="344"/>
      <c r="EF130" s="344"/>
      <c r="EG130" s="344"/>
      <c r="EH130" s="344"/>
    </row>
    <row r="131" spans="1:138">
      <c r="A131" s="268"/>
      <c r="B131" s="342"/>
      <c r="C131" s="339" t="s">
        <v>336</v>
      </c>
      <c r="D131" s="515"/>
      <c r="E131" s="521">
        <f t="shared" ref="E131:BX131" si="51">E126+E127+E128+E129+E130</f>
        <v>0</v>
      </c>
      <c r="F131" s="521">
        <f t="shared" si="51"/>
        <v>0</v>
      </c>
      <c r="G131" s="521">
        <f t="shared" si="51"/>
        <v>0</v>
      </c>
      <c r="H131" s="521">
        <f t="shared" si="51"/>
        <v>0</v>
      </c>
      <c r="I131" s="521">
        <f t="shared" si="51"/>
        <v>0</v>
      </c>
      <c r="J131" s="521">
        <f t="shared" si="51"/>
        <v>0</v>
      </c>
      <c r="K131" s="521">
        <f t="shared" si="51"/>
        <v>0</v>
      </c>
      <c r="L131" s="521">
        <f t="shared" si="51"/>
        <v>0</v>
      </c>
      <c r="M131" s="521">
        <f t="shared" si="51"/>
        <v>0</v>
      </c>
      <c r="N131" s="521">
        <f t="shared" si="51"/>
        <v>0</v>
      </c>
      <c r="O131" s="521">
        <f t="shared" si="51"/>
        <v>0</v>
      </c>
      <c r="P131" s="521">
        <f t="shared" si="51"/>
        <v>-23199170</v>
      </c>
      <c r="Q131" s="521">
        <f t="shared" si="51"/>
        <v>0</v>
      </c>
      <c r="R131" s="521">
        <f t="shared" si="51"/>
        <v>0</v>
      </c>
      <c r="S131" s="521">
        <f t="shared" si="51"/>
        <v>-1200000</v>
      </c>
      <c r="T131" s="521">
        <f t="shared" si="51"/>
        <v>-15000000</v>
      </c>
      <c r="U131" s="521">
        <f t="shared" si="51"/>
        <v>-3700000</v>
      </c>
      <c r="V131" s="521">
        <f t="shared" si="51"/>
        <v>0</v>
      </c>
      <c r="W131" s="521">
        <f t="shared" si="51"/>
        <v>0</v>
      </c>
      <c r="X131" s="521">
        <f t="shared" si="51"/>
        <v>0</v>
      </c>
      <c r="Y131" s="521">
        <f t="shared" si="51"/>
        <v>0</v>
      </c>
      <c r="Z131" s="521">
        <f t="shared" si="51"/>
        <v>0</v>
      </c>
      <c r="AA131" s="521">
        <f t="shared" si="51"/>
        <v>0</v>
      </c>
      <c r="AB131" s="521">
        <f t="shared" si="51"/>
        <v>0</v>
      </c>
      <c r="AC131" s="521">
        <f t="shared" si="51"/>
        <v>21701250</v>
      </c>
      <c r="AD131" s="521">
        <f t="shared" si="51"/>
        <v>0</v>
      </c>
      <c r="AE131" s="521">
        <f t="shared" si="51"/>
        <v>0</v>
      </c>
      <c r="AF131" s="521">
        <f t="shared" si="51"/>
        <v>0</v>
      </c>
      <c r="AG131" s="521">
        <f t="shared" si="51"/>
        <v>0</v>
      </c>
      <c r="AH131" s="521">
        <f t="shared" si="51"/>
        <v>0</v>
      </c>
      <c r="AI131" s="521">
        <f t="shared" si="51"/>
        <v>0</v>
      </c>
      <c r="AJ131" s="521">
        <f t="shared" si="51"/>
        <v>0</v>
      </c>
      <c r="AK131" s="521">
        <f t="shared" si="51"/>
        <v>0</v>
      </c>
      <c r="AL131" s="521">
        <f t="shared" si="51"/>
        <v>0</v>
      </c>
      <c r="AM131" s="521">
        <f t="shared" si="51"/>
        <v>0</v>
      </c>
      <c r="AN131" s="521">
        <f t="shared" si="51"/>
        <v>0</v>
      </c>
      <c r="AO131" s="521">
        <f t="shared" si="51"/>
        <v>0</v>
      </c>
      <c r="AP131" s="521">
        <f t="shared" si="51"/>
        <v>0</v>
      </c>
      <c r="AQ131" s="521">
        <f t="shared" si="51"/>
        <v>0</v>
      </c>
      <c r="AR131" s="521">
        <f t="shared" si="51"/>
        <v>0</v>
      </c>
      <c r="AS131" s="521">
        <f t="shared" si="51"/>
        <v>0</v>
      </c>
      <c r="AT131" s="521">
        <f t="shared" si="51"/>
        <v>0</v>
      </c>
      <c r="AU131" s="521">
        <f t="shared" si="51"/>
        <v>0</v>
      </c>
      <c r="AV131" s="521">
        <f t="shared" si="51"/>
        <v>0</v>
      </c>
      <c r="AW131" s="521">
        <f t="shared" si="51"/>
        <v>0</v>
      </c>
      <c r="AX131" s="521">
        <f t="shared" si="51"/>
        <v>0</v>
      </c>
      <c r="AY131" s="521">
        <f t="shared" si="51"/>
        <v>0</v>
      </c>
      <c r="AZ131" s="521">
        <f t="shared" si="51"/>
        <v>0</v>
      </c>
      <c r="BA131" s="521">
        <f t="shared" si="51"/>
        <v>0</v>
      </c>
      <c r="BB131" s="521">
        <f t="shared" si="51"/>
        <v>0</v>
      </c>
      <c r="BC131" s="521">
        <f t="shared" si="51"/>
        <v>0</v>
      </c>
      <c r="BD131" s="521">
        <f t="shared" si="51"/>
        <v>0</v>
      </c>
      <c r="BE131" s="521">
        <f t="shared" si="51"/>
        <v>0</v>
      </c>
      <c r="BF131" s="521">
        <f t="shared" si="51"/>
        <v>0</v>
      </c>
      <c r="BG131" s="521">
        <f t="shared" si="51"/>
        <v>0</v>
      </c>
      <c r="BH131" s="521">
        <f t="shared" si="51"/>
        <v>0</v>
      </c>
      <c r="BI131" s="521">
        <f t="shared" si="51"/>
        <v>0</v>
      </c>
      <c r="BJ131" s="521">
        <f t="shared" si="51"/>
        <v>0</v>
      </c>
      <c r="BK131" s="521">
        <f t="shared" si="51"/>
        <v>0</v>
      </c>
      <c r="BL131" s="521">
        <f t="shared" si="51"/>
        <v>0</v>
      </c>
      <c r="BM131" s="521">
        <f t="shared" si="51"/>
        <v>0</v>
      </c>
      <c r="BN131" s="521">
        <f t="shared" si="51"/>
        <v>0</v>
      </c>
      <c r="BO131" s="521">
        <f t="shared" si="51"/>
        <v>0</v>
      </c>
      <c r="BP131" s="521">
        <f t="shared" si="51"/>
        <v>0</v>
      </c>
      <c r="BQ131" s="521">
        <f t="shared" si="51"/>
        <v>0</v>
      </c>
      <c r="BR131" s="521">
        <f t="shared" si="51"/>
        <v>0</v>
      </c>
      <c r="BS131" s="521">
        <f t="shared" si="51"/>
        <v>0</v>
      </c>
      <c r="BT131" s="521">
        <f t="shared" si="51"/>
        <v>0</v>
      </c>
      <c r="BU131" s="521">
        <f t="shared" si="51"/>
        <v>0</v>
      </c>
      <c r="BV131" s="521">
        <f t="shared" si="51"/>
        <v>0</v>
      </c>
      <c r="BW131" s="521">
        <f t="shared" si="51"/>
        <v>0</v>
      </c>
      <c r="BX131" s="521" t="e">
        <f t="shared" si="51"/>
        <v>#VALUE!</v>
      </c>
      <c r="BY131" s="268"/>
      <c r="BZ131" s="268"/>
      <c r="CA131" s="268"/>
      <c r="CB131" s="268"/>
      <c r="CC131" s="268"/>
      <c r="CD131" s="268"/>
      <c r="CE131" s="268"/>
      <c r="CF131" s="268"/>
      <c r="CG131" s="268"/>
      <c r="CH131" s="268"/>
      <c r="CI131" s="268"/>
      <c r="CJ131" s="268"/>
      <c r="CK131" s="268"/>
      <c r="CL131" s="268"/>
      <c r="CM131" s="268"/>
      <c r="CN131" s="268"/>
      <c r="CO131" s="268"/>
      <c r="CP131" s="268"/>
      <c r="CQ131" s="268"/>
      <c r="CR131" s="268"/>
      <c r="CS131" s="268"/>
      <c r="CT131" s="268"/>
      <c r="CU131" s="268"/>
      <c r="CV131" s="268"/>
      <c r="CW131" s="268"/>
      <c r="CX131" s="268"/>
      <c r="CY131" s="268"/>
      <c r="CZ131" s="268"/>
      <c r="DA131" s="268"/>
      <c r="DB131" s="268"/>
      <c r="DC131" s="268"/>
      <c r="DD131" s="268"/>
      <c r="DE131" s="268"/>
      <c r="DF131" s="268"/>
      <c r="DG131" s="268"/>
      <c r="DH131" s="268"/>
      <c r="DI131" s="268"/>
      <c r="DJ131" s="268"/>
      <c r="DK131" s="268"/>
      <c r="DL131" s="268"/>
      <c r="DM131" s="268"/>
      <c r="DN131" s="268"/>
      <c r="DO131" s="268"/>
      <c r="DP131" s="268"/>
      <c r="DQ131" s="268"/>
      <c r="DR131" s="268"/>
      <c r="DS131" s="268"/>
      <c r="DT131" s="268"/>
      <c r="DU131" s="268"/>
      <c r="DV131" s="268"/>
      <c r="DW131" s="344"/>
      <c r="DX131" s="344"/>
      <c r="DY131" s="344"/>
      <c r="DZ131" s="344"/>
      <c r="EA131" s="344"/>
      <c r="EB131" s="344"/>
      <c r="EC131" s="344"/>
      <c r="ED131" s="344"/>
      <c r="EE131" s="344"/>
      <c r="EF131" s="344"/>
      <c r="EG131" s="344"/>
      <c r="EH131" s="344"/>
    </row>
    <row r="132" spans="1:138">
      <c r="A132" s="268"/>
      <c r="B132" s="342"/>
      <c r="C132" s="340"/>
      <c r="D132" s="522" t="s">
        <v>343</v>
      </c>
      <c r="E132" s="526">
        <f>E131</f>
        <v>0</v>
      </c>
      <c r="F132" s="526">
        <f t="shared" ref="F132:BX132" si="52">E132+F131</f>
        <v>0</v>
      </c>
      <c r="G132" s="526">
        <f t="shared" si="52"/>
        <v>0</v>
      </c>
      <c r="H132" s="526">
        <f t="shared" si="52"/>
        <v>0</v>
      </c>
      <c r="I132" s="526">
        <f t="shared" si="52"/>
        <v>0</v>
      </c>
      <c r="J132" s="526">
        <f t="shared" si="52"/>
        <v>0</v>
      </c>
      <c r="K132" s="526">
        <f t="shared" si="52"/>
        <v>0</v>
      </c>
      <c r="L132" s="526">
        <f t="shared" si="52"/>
        <v>0</v>
      </c>
      <c r="M132" s="526">
        <f t="shared" si="52"/>
        <v>0</v>
      </c>
      <c r="N132" s="526">
        <f t="shared" si="52"/>
        <v>0</v>
      </c>
      <c r="O132" s="526">
        <f t="shared" si="52"/>
        <v>0</v>
      </c>
      <c r="P132" s="526">
        <f t="shared" si="52"/>
        <v>-23199170</v>
      </c>
      <c r="Q132" s="526">
        <f t="shared" si="52"/>
        <v>-23199170</v>
      </c>
      <c r="R132" s="526">
        <f t="shared" si="52"/>
        <v>-23199170</v>
      </c>
      <c r="S132" s="526">
        <f t="shared" si="52"/>
        <v>-24399170</v>
      </c>
      <c r="T132" s="526">
        <f t="shared" si="52"/>
        <v>-39399170</v>
      </c>
      <c r="U132" s="526">
        <f t="shared" si="52"/>
        <v>-43099170</v>
      </c>
      <c r="V132" s="526">
        <f t="shared" si="52"/>
        <v>-43099170</v>
      </c>
      <c r="W132" s="526">
        <f t="shared" si="52"/>
        <v>-43099170</v>
      </c>
      <c r="X132" s="526">
        <f t="shared" si="52"/>
        <v>-43099170</v>
      </c>
      <c r="Y132" s="526">
        <f t="shared" si="52"/>
        <v>-43099170</v>
      </c>
      <c r="Z132" s="526">
        <f t="shared" si="52"/>
        <v>-43099170</v>
      </c>
      <c r="AA132" s="526">
        <f t="shared" si="52"/>
        <v>-43099170</v>
      </c>
      <c r="AB132" s="526">
        <f t="shared" si="52"/>
        <v>-43099170</v>
      </c>
      <c r="AC132" s="526">
        <f t="shared" si="52"/>
        <v>-21397920</v>
      </c>
      <c r="AD132" s="526">
        <f t="shared" si="52"/>
        <v>-21397920</v>
      </c>
      <c r="AE132" s="526">
        <f t="shared" si="52"/>
        <v>-21397920</v>
      </c>
      <c r="AF132" s="526">
        <f t="shared" si="52"/>
        <v>-21397920</v>
      </c>
      <c r="AG132" s="526">
        <f t="shared" si="52"/>
        <v>-21397920</v>
      </c>
      <c r="AH132" s="526">
        <f t="shared" si="52"/>
        <v>-21397920</v>
      </c>
      <c r="AI132" s="526">
        <f t="shared" si="52"/>
        <v>-21397920</v>
      </c>
      <c r="AJ132" s="526">
        <f t="shared" si="52"/>
        <v>-21397920</v>
      </c>
      <c r="AK132" s="526">
        <f t="shared" si="52"/>
        <v>-21397920</v>
      </c>
      <c r="AL132" s="526">
        <f t="shared" si="52"/>
        <v>-21397920</v>
      </c>
      <c r="AM132" s="526">
        <f t="shared" si="52"/>
        <v>-21397920</v>
      </c>
      <c r="AN132" s="526">
        <f t="shared" si="52"/>
        <v>-21397920</v>
      </c>
      <c r="AO132" s="526">
        <f t="shared" si="52"/>
        <v>-21397920</v>
      </c>
      <c r="AP132" s="526">
        <f t="shared" si="52"/>
        <v>-21397920</v>
      </c>
      <c r="AQ132" s="526">
        <f t="shared" si="52"/>
        <v>-21397920</v>
      </c>
      <c r="AR132" s="526">
        <f t="shared" si="52"/>
        <v>-21397920</v>
      </c>
      <c r="AS132" s="526">
        <f t="shared" si="52"/>
        <v>-21397920</v>
      </c>
      <c r="AT132" s="526">
        <f t="shared" si="52"/>
        <v>-21397920</v>
      </c>
      <c r="AU132" s="526">
        <f t="shared" si="52"/>
        <v>-21397920</v>
      </c>
      <c r="AV132" s="526">
        <f t="shared" si="52"/>
        <v>-21397920</v>
      </c>
      <c r="AW132" s="526">
        <f t="shared" si="52"/>
        <v>-21397920</v>
      </c>
      <c r="AX132" s="526">
        <f t="shared" si="52"/>
        <v>-21397920</v>
      </c>
      <c r="AY132" s="526">
        <f t="shared" si="52"/>
        <v>-21397920</v>
      </c>
      <c r="AZ132" s="526">
        <f t="shared" si="52"/>
        <v>-21397920</v>
      </c>
      <c r="BA132" s="526">
        <f t="shared" si="52"/>
        <v>-21397920</v>
      </c>
      <c r="BB132" s="526">
        <f t="shared" si="52"/>
        <v>-21397920</v>
      </c>
      <c r="BC132" s="526">
        <f t="shared" si="52"/>
        <v>-21397920</v>
      </c>
      <c r="BD132" s="526">
        <f t="shared" si="52"/>
        <v>-21397920</v>
      </c>
      <c r="BE132" s="526">
        <f t="shared" si="52"/>
        <v>-21397920</v>
      </c>
      <c r="BF132" s="526">
        <f t="shared" si="52"/>
        <v>-21397920</v>
      </c>
      <c r="BG132" s="526">
        <f t="shared" si="52"/>
        <v>-21397920</v>
      </c>
      <c r="BH132" s="526">
        <f t="shared" si="52"/>
        <v>-21397920</v>
      </c>
      <c r="BI132" s="526">
        <f t="shared" si="52"/>
        <v>-21397920</v>
      </c>
      <c r="BJ132" s="526">
        <f t="shared" si="52"/>
        <v>-21397920</v>
      </c>
      <c r="BK132" s="526">
        <f t="shared" si="52"/>
        <v>-21397920</v>
      </c>
      <c r="BL132" s="526">
        <f t="shared" si="52"/>
        <v>-21397920</v>
      </c>
      <c r="BM132" s="526">
        <f t="shared" si="52"/>
        <v>-21397920</v>
      </c>
      <c r="BN132" s="526">
        <f t="shared" si="52"/>
        <v>-21397920</v>
      </c>
      <c r="BO132" s="526">
        <f t="shared" si="52"/>
        <v>-21397920</v>
      </c>
      <c r="BP132" s="526">
        <f t="shared" si="52"/>
        <v>-21397920</v>
      </c>
      <c r="BQ132" s="526">
        <f t="shared" si="52"/>
        <v>-21397920</v>
      </c>
      <c r="BR132" s="526">
        <f t="shared" si="52"/>
        <v>-21397920</v>
      </c>
      <c r="BS132" s="526">
        <f t="shared" si="52"/>
        <v>-21397920</v>
      </c>
      <c r="BT132" s="526">
        <f t="shared" si="52"/>
        <v>-21397920</v>
      </c>
      <c r="BU132" s="526">
        <f t="shared" si="52"/>
        <v>-21397920</v>
      </c>
      <c r="BV132" s="526">
        <f t="shared" si="52"/>
        <v>-21397920</v>
      </c>
      <c r="BW132" s="526">
        <f t="shared" si="52"/>
        <v>-21397920</v>
      </c>
      <c r="BX132" s="526" t="e">
        <f t="shared" si="52"/>
        <v>#VALUE!</v>
      </c>
      <c r="BY132" s="268"/>
      <c r="BZ132" s="268"/>
      <c r="CA132" s="268"/>
      <c r="CB132" s="268"/>
      <c r="CC132" s="268"/>
      <c r="CD132" s="268"/>
      <c r="CE132" s="268"/>
      <c r="CF132" s="268"/>
      <c r="CG132" s="268"/>
      <c r="CH132" s="268"/>
      <c r="CI132" s="268"/>
      <c r="CJ132" s="268"/>
      <c r="CK132" s="268"/>
      <c r="CL132" s="268"/>
      <c r="CM132" s="268"/>
      <c r="CN132" s="268"/>
      <c r="CO132" s="268"/>
      <c r="CP132" s="268"/>
      <c r="CQ132" s="268"/>
      <c r="CR132" s="268"/>
      <c r="CS132" s="268"/>
      <c r="CT132" s="268"/>
      <c r="CU132" s="268"/>
      <c r="CV132" s="268"/>
      <c r="CW132" s="268"/>
      <c r="CX132" s="268"/>
      <c r="CY132" s="268"/>
      <c r="CZ132" s="268"/>
      <c r="DA132" s="268"/>
      <c r="DB132" s="268"/>
      <c r="DC132" s="268"/>
      <c r="DD132" s="268"/>
      <c r="DE132" s="268"/>
      <c r="DF132" s="268"/>
      <c r="DG132" s="268"/>
      <c r="DH132" s="268"/>
      <c r="DI132" s="268"/>
      <c r="DJ132" s="268"/>
      <c r="DK132" s="268"/>
      <c r="DL132" s="268"/>
      <c r="DM132" s="268"/>
      <c r="DN132" s="268"/>
      <c r="DO132" s="268"/>
      <c r="DP132" s="268"/>
      <c r="DQ132" s="268"/>
      <c r="DR132" s="268"/>
      <c r="DS132" s="268"/>
      <c r="DT132" s="268"/>
      <c r="DU132" s="268"/>
      <c r="DV132" s="268"/>
      <c r="DW132" s="344"/>
      <c r="DX132" s="344"/>
      <c r="DY132" s="344"/>
      <c r="DZ132" s="344"/>
      <c r="EA132" s="344"/>
      <c r="EB132" s="344"/>
      <c r="EC132" s="344"/>
      <c r="ED132" s="344"/>
      <c r="EE132" s="344"/>
      <c r="EF132" s="344"/>
      <c r="EG132" s="344"/>
      <c r="EH132" s="344"/>
    </row>
    <row r="133" spans="1:138">
      <c r="A133" s="268"/>
      <c r="B133" s="342"/>
      <c r="C133" s="517" t="s">
        <v>329</v>
      </c>
      <c r="D133" s="522" t="e">
        <f>IRR(E131:BX131)*12</f>
        <v>#VALUE!</v>
      </c>
      <c r="E133" s="268"/>
      <c r="F133" s="268"/>
      <c r="G133" s="268"/>
      <c r="H133" s="268"/>
      <c r="I133" s="268"/>
      <c r="J133" s="268"/>
      <c r="K133" s="268"/>
      <c r="L133" s="268"/>
      <c r="M133" s="268"/>
      <c r="N133" s="268"/>
      <c r="O133" s="268"/>
      <c r="P133" s="268"/>
      <c r="Q133" s="268"/>
      <c r="R133" s="268"/>
      <c r="S133" s="268"/>
      <c r="T133" s="268"/>
      <c r="U133" s="268"/>
      <c r="V133" s="268"/>
      <c r="W133" s="268"/>
      <c r="X133" s="268"/>
      <c r="Y133" s="268"/>
      <c r="Z133" s="268"/>
      <c r="AA133" s="268"/>
      <c r="AB133" s="268"/>
      <c r="AC133" s="268"/>
      <c r="AD133" s="268"/>
      <c r="AE133" s="268"/>
      <c r="AF133" s="268"/>
      <c r="AG133" s="268"/>
      <c r="AH133" s="268"/>
      <c r="AI133" s="268"/>
      <c r="AJ133" s="268"/>
      <c r="AK133" s="268"/>
      <c r="AL133" s="268"/>
      <c r="AM133" s="268"/>
      <c r="AN133" s="268"/>
      <c r="AO133" s="268"/>
      <c r="AP133" s="268"/>
      <c r="AQ133" s="268"/>
      <c r="AR133" s="268"/>
      <c r="AS133" s="268"/>
      <c r="AT133" s="268"/>
      <c r="AU133" s="268"/>
      <c r="AV133" s="268"/>
      <c r="AW133" s="268"/>
      <c r="AX133" s="268"/>
      <c r="AY133" s="268"/>
      <c r="AZ133" s="268"/>
      <c r="BA133" s="268"/>
      <c r="BB133" s="268"/>
      <c r="BC133" s="268"/>
      <c r="BD133" s="268"/>
      <c r="BE133" s="268"/>
      <c r="BF133" s="268"/>
      <c r="BG133" s="268"/>
      <c r="BH133" s="268"/>
      <c r="BI133" s="268"/>
      <c r="BJ133" s="268"/>
      <c r="BK133" s="268"/>
      <c r="BL133" s="268"/>
      <c r="BM133" s="268"/>
      <c r="BN133" s="268"/>
      <c r="BO133" s="268"/>
      <c r="BP133" s="268"/>
      <c r="BQ133" s="268"/>
      <c r="BR133" s="268"/>
      <c r="BS133" s="268"/>
      <c r="BT133" s="268"/>
      <c r="BU133" s="268"/>
      <c r="BV133" s="268"/>
      <c r="BW133" s="268"/>
      <c r="BX133" s="268"/>
      <c r="BY133" s="268"/>
      <c r="BZ133" s="268"/>
      <c r="CA133" s="268"/>
      <c r="CB133" s="268"/>
      <c r="CC133" s="268"/>
      <c r="CD133" s="268"/>
      <c r="CE133" s="268"/>
      <c r="CF133" s="268"/>
      <c r="CG133" s="268"/>
      <c r="CH133" s="268"/>
      <c r="CI133" s="268"/>
      <c r="CJ133" s="268"/>
      <c r="CK133" s="268"/>
      <c r="CL133" s="268"/>
      <c r="CM133" s="268"/>
      <c r="CN133" s="268"/>
      <c r="CO133" s="268"/>
      <c r="CP133" s="268"/>
      <c r="CQ133" s="268"/>
      <c r="CR133" s="268"/>
      <c r="CS133" s="268"/>
      <c r="CT133" s="268"/>
      <c r="CU133" s="268"/>
      <c r="CV133" s="268"/>
      <c r="CW133" s="268"/>
      <c r="CX133" s="268"/>
      <c r="CY133" s="268"/>
      <c r="CZ133" s="268"/>
      <c r="DA133" s="268"/>
      <c r="DB133" s="268"/>
      <c r="DC133" s="268"/>
      <c r="DD133" s="268"/>
      <c r="DE133" s="268"/>
      <c r="DF133" s="268"/>
      <c r="DG133" s="268"/>
      <c r="DH133" s="268"/>
      <c r="DI133" s="268"/>
      <c r="DJ133" s="268"/>
      <c r="DK133" s="268"/>
      <c r="DL133" s="268"/>
      <c r="DM133" s="268"/>
      <c r="DN133" s="268"/>
      <c r="DO133" s="268"/>
      <c r="DP133" s="268"/>
      <c r="DQ133" s="268"/>
      <c r="DR133" s="268"/>
      <c r="DS133" s="268"/>
      <c r="DT133" s="268"/>
      <c r="DU133" s="268"/>
      <c r="DV133" s="268"/>
      <c r="DW133" s="344"/>
      <c r="DX133" s="344"/>
      <c r="DY133" s="344"/>
      <c r="DZ133" s="344"/>
      <c r="EA133" s="344"/>
      <c r="EB133" s="344"/>
      <c r="EC133" s="344"/>
      <c r="ED133" s="344"/>
      <c r="EE133" s="344"/>
      <c r="EF133" s="344"/>
      <c r="EG133" s="344"/>
      <c r="EH133" s="344"/>
    </row>
    <row r="134" spans="1:138">
      <c r="A134" s="268"/>
      <c r="B134" s="342"/>
      <c r="C134" s="523" t="s">
        <v>337</v>
      </c>
      <c r="D134" s="524">
        <f>-MIN(E126:BL126)</f>
        <v>15000000</v>
      </c>
      <c r="E134" s="268"/>
      <c r="F134" s="268"/>
      <c r="G134" s="268"/>
      <c r="H134" s="268"/>
      <c r="I134" s="268"/>
      <c r="J134" s="268"/>
      <c r="K134" s="268"/>
      <c r="L134" s="268"/>
      <c r="M134" s="268"/>
      <c r="N134" s="268"/>
      <c r="O134" s="268"/>
      <c r="P134" s="268"/>
      <c r="Q134" s="268"/>
      <c r="R134" s="268"/>
      <c r="S134" s="268"/>
      <c r="T134" s="268"/>
      <c r="U134" s="268"/>
      <c r="V134" s="268"/>
      <c r="W134" s="268"/>
      <c r="X134" s="268"/>
      <c r="Y134" s="268"/>
      <c r="Z134" s="268"/>
      <c r="AA134" s="268"/>
      <c r="AB134" s="268"/>
      <c r="AC134" s="268"/>
      <c r="AD134" s="268"/>
      <c r="AE134" s="268"/>
      <c r="AF134" s="268"/>
      <c r="AG134" s="268"/>
      <c r="AH134" s="268"/>
      <c r="AI134" s="268"/>
      <c r="AJ134" s="268"/>
      <c r="AK134" s="268"/>
      <c r="AL134" s="268"/>
      <c r="AM134" s="268"/>
      <c r="AN134" s="268"/>
      <c r="AO134" s="268"/>
      <c r="AP134" s="268"/>
      <c r="AQ134" s="268"/>
      <c r="AR134" s="268"/>
      <c r="AS134" s="268"/>
      <c r="AT134" s="268"/>
      <c r="AU134" s="268"/>
      <c r="AV134" s="268"/>
      <c r="AW134" s="268"/>
      <c r="AX134" s="268"/>
      <c r="AY134" s="268"/>
      <c r="AZ134" s="268"/>
      <c r="BA134" s="268"/>
      <c r="BB134" s="268"/>
      <c r="BC134" s="268"/>
      <c r="BD134" s="268"/>
      <c r="BE134" s="268"/>
      <c r="BF134" s="268"/>
      <c r="BG134" s="268"/>
      <c r="BH134" s="268"/>
      <c r="BI134" s="268"/>
      <c r="BJ134" s="268"/>
      <c r="BK134" s="268"/>
      <c r="BL134" s="268"/>
      <c r="BM134" s="268"/>
      <c r="BN134" s="268"/>
      <c r="BO134" s="268"/>
      <c r="BP134" s="268"/>
      <c r="BQ134" s="268"/>
      <c r="BR134" s="268"/>
      <c r="BS134" s="268"/>
      <c r="BT134" s="268"/>
      <c r="BU134" s="268"/>
      <c r="BV134" s="268"/>
      <c r="BW134" s="268"/>
      <c r="BX134" s="268"/>
      <c r="BY134" s="268"/>
      <c r="BZ134" s="268"/>
      <c r="CA134" s="268"/>
      <c r="CB134" s="268"/>
      <c r="CC134" s="268"/>
      <c r="CD134" s="268"/>
      <c r="CE134" s="268"/>
      <c r="CF134" s="268"/>
      <c r="CG134" s="268"/>
      <c r="CH134" s="268"/>
      <c r="CI134" s="268"/>
      <c r="CJ134" s="268"/>
      <c r="CK134" s="268"/>
      <c r="CL134" s="268"/>
      <c r="CM134" s="268"/>
      <c r="CN134" s="268"/>
      <c r="CO134" s="268"/>
      <c r="CP134" s="268"/>
      <c r="CQ134" s="268"/>
      <c r="CR134" s="268"/>
      <c r="CS134" s="268"/>
      <c r="CT134" s="268"/>
      <c r="CU134" s="268"/>
      <c r="CV134" s="268"/>
      <c r="CW134" s="268"/>
      <c r="CX134" s="268"/>
      <c r="CY134" s="268"/>
      <c r="CZ134" s="268"/>
      <c r="DA134" s="268"/>
      <c r="DB134" s="268"/>
      <c r="DC134" s="268"/>
      <c r="DD134" s="268"/>
      <c r="DE134" s="268"/>
      <c r="DF134" s="268"/>
      <c r="DG134" s="268"/>
      <c r="DH134" s="268"/>
      <c r="DI134" s="268"/>
      <c r="DJ134" s="268"/>
      <c r="DK134" s="268"/>
      <c r="DL134" s="268"/>
      <c r="DM134" s="268"/>
      <c r="DN134" s="268"/>
      <c r="DO134" s="268"/>
      <c r="DP134" s="268"/>
      <c r="DQ134" s="268"/>
      <c r="DR134" s="268"/>
      <c r="DS134" s="268"/>
      <c r="DT134" s="268"/>
      <c r="DU134" s="268"/>
      <c r="DV134" s="268"/>
      <c r="DW134" s="344"/>
      <c r="DX134" s="344"/>
      <c r="DY134" s="344"/>
      <c r="DZ134" s="344"/>
      <c r="EA134" s="344"/>
      <c r="EB134" s="344"/>
      <c r="EC134" s="344"/>
      <c r="ED134" s="344"/>
      <c r="EE134" s="344"/>
      <c r="EF134" s="344"/>
      <c r="EG134" s="344"/>
      <c r="EH134" s="344"/>
    </row>
    <row r="135" spans="1:138">
      <c r="A135" s="268"/>
      <c r="B135" s="342"/>
      <c r="C135" s="523" t="s">
        <v>344</v>
      </c>
      <c r="D135" s="524">
        <f>-SUM(M130:BB130)</f>
        <v>0</v>
      </c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8"/>
      <c r="T135" s="268"/>
      <c r="U135" s="268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268"/>
      <c r="AG135" s="268"/>
      <c r="AH135" s="268"/>
      <c r="AI135" s="268"/>
      <c r="AJ135" s="268"/>
      <c r="AK135" s="268"/>
      <c r="AL135" s="268"/>
      <c r="AM135" s="268"/>
      <c r="AN135" s="268"/>
      <c r="AO135" s="268"/>
      <c r="AP135" s="268"/>
      <c r="AQ135" s="268"/>
      <c r="AR135" s="268"/>
      <c r="AS135" s="268"/>
      <c r="AT135" s="268"/>
      <c r="AU135" s="268"/>
      <c r="AV135" s="268"/>
      <c r="AW135" s="268"/>
      <c r="AX135" s="268"/>
      <c r="AY135" s="268"/>
      <c r="AZ135" s="268"/>
      <c r="BA135" s="268"/>
      <c r="BB135" s="268"/>
      <c r="BC135" s="268"/>
      <c r="BD135" s="268"/>
      <c r="BE135" s="268"/>
      <c r="BF135" s="268"/>
      <c r="BG135" s="268"/>
      <c r="BH135" s="268"/>
      <c r="BI135" s="268"/>
      <c r="BJ135" s="268"/>
      <c r="BK135" s="268"/>
      <c r="BL135" s="268"/>
      <c r="BM135" s="268"/>
      <c r="BN135" s="268"/>
      <c r="BO135" s="268"/>
      <c r="BP135" s="268"/>
      <c r="BQ135" s="268"/>
      <c r="BR135" s="268"/>
      <c r="BS135" s="268"/>
      <c r="BT135" s="268"/>
      <c r="BU135" s="268"/>
      <c r="BV135" s="268"/>
      <c r="BW135" s="268"/>
      <c r="BX135" s="268"/>
      <c r="BY135" s="268"/>
      <c r="BZ135" s="268"/>
      <c r="CA135" s="268"/>
      <c r="CB135" s="268"/>
      <c r="CC135" s="268"/>
      <c r="CD135" s="268"/>
      <c r="CE135" s="268"/>
      <c r="CF135" s="268"/>
      <c r="CG135" s="268"/>
      <c r="CH135" s="268"/>
      <c r="CI135" s="268"/>
      <c r="CJ135" s="268"/>
      <c r="CK135" s="268"/>
      <c r="CL135" s="268"/>
      <c r="CM135" s="268"/>
      <c r="CN135" s="268"/>
      <c r="CO135" s="268"/>
      <c r="CP135" s="268"/>
      <c r="CQ135" s="268"/>
      <c r="CR135" s="268"/>
      <c r="CS135" s="268"/>
      <c r="CT135" s="268"/>
      <c r="CU135" s="268"/>
      <c r="CV135" s="268"/>
      <c r="CW135" s="268"/>
      <c r="CX135" s="268"/>
      <c r="CY135" s="268"/>
      <c r="CZ135" s="268"/>
      <c r="DA135" s="268"/>
      <c r="DB135" s="268"/>
      <c r="DC135" s="268"/>
      <c r="DD135" s="268"/>
      <c r="DE135" s="268"/>
      <c r="DF135" s="268"/>
      <c r="DG135" s="268"/>
      <c r="DH135" s="268"/>
      <c r="DI135" s="268"/>
      <c r="DJ135" s="268"/>
      <c r="DK135" s="268"/>
      <c r="DL135" s="268"/>
      <c r="DM135" s="268"/>
      <c r="DN135" s="268"/>
      <c r="DO135" s="268"/>
      <c r="DP135" s="268"/>
      <c r="DQ135" s="268"/>
      <c r="DR135" s="268"/>
      <c r="DS135" s="268"/>
      <c r="DT135" s="268"/>
      <c r="DU135" s="268"/>
      <c r="DV135" s="268"/>
      <c r="DW135" s="344"/>
      <c r="DX135" s="344"/>
      <c r="DY135" s="344"/>
      <c r="DZ135" s="344"/>
      <c r="EA135" s="344"/>
      <c r="EB135" s="344"/>
      <c r="EC135" s="344"/>
      <c r="ED135" s="344"/>
      <c r="EE135" s="344"/>
      <c r="EF135" s="344"/>
      <c r="EG135" s="344"/>
      <c r="EH135" s="344"/>
    </row>
    <row r="136" spans="1:138">
      <c r="A136" s="268"/>
      <c r="B136" s="342"/>
      <c r="C136" s="517" t="s">
        <v>338</v>
      </c>
      <c r="D136" s="525">
        <f>D135+D134</f>
        <v>15000000</v>
      </c>
      <c r="E136" s="268"/>
      <c r="F136" s="268"/>
      <c r="G136" s="268"/>
      <c r="H136" s="268"/>
      <c r="I136" s="268"/>
      <c r="J136" s="268"/>
      <c r="K136" s="268"/>
      <c r="L136" s="268"/>
      <c r="M136" s="268"/>
      <c r="N136" s="268"/>
      <c r="O136" s="268"/>
      <c r="P136" s="268"/>
      <c r="Q136" s="268"/>
      <c r="R136" s="268"/>
      <c r="S136" s="268"/>
      <c r="T136" s="268"/>
      <c r="U136" s="268"/>
      <c r="V136" s="268"/>
      <c r="W136" s="268"/>
      <c r="X136" s="268"/>
      <c r="Y136" s="268"/>
      <c r="Z136" s="268"/>
      <c r="AA136" s="268"/>
      <c r="AB136" s="268"/>
      <c r="AC136" s="268"/>
      <c r="AD136" s="268"/>
      <c r="AE136" s="268"/>
      <c r="AF136" s="268"/>
      <c r="AG136" s="268"/>
      <c r="AH136" s="268"/>
      <c r="AI136" s="268"/>
      <c r="AJ136" s="268"/>
      <c r="AK136" s="268"/>
      <c r="AL136" s="268"/>
      <c r="AM136" s="268"/>
      <c r="AN136" s="268"/>
      <c r="AO136" s="268"/>
      <c r="AP136" s="268"/>
      <c r="AQ136" s="268"/>
      <c r="AR136" s="268"/>
      <c r="AS136" s="268"/>
      <c r="AT136" s="268"/>
      <c r="AU136" s="268"/>
      <c r="AV136" s="268"/>
      <c r="AW136" s="268"/>
      <c r="AX136" s="268"/>
      <c r="AY136" s="268"/>
      <c r="AZ136" s="268"/>
      <c r="BA136" s="268"/>
      <c r="BB136" s="268"/>
      <c r="BC136" s="268"/>
      <c r="BD136" s="268"/>
      <c r="BE136" s="268"/>
      <c r="BF136" s="268"/>
      <c r="BG136" s="268"/>
      <c r="BH136" s="268"/>
      <c r="BI136" s="268"/>
      <c r="BJ136" s="268"/>
      <c r="BK136" s="268"/>
      <c r="BL136" s="268"/>
      <c r="BM136" s="268"/>
      <c r="BN136" s="268"/>
      <c r="BO136" s="268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8"/>
      <c r="CA136" s="268"/>
      <c r="CB136" s="268"/>
      <c r="CC136" s="268"/>
      <c r="CD136" s="268"/>
      <c r="CE136" s="268"/>
      <c r="CF136" s="268"/>
      <c r="CG136" s="268"/>
      <c r="CH136" s="268"/>
      <c r="CI136" s="268"/>
      <c r="CJ136" s="268"/>
      <c r="CK136" s="268"/>
      <c r="CL136" s="268"/>
      <c r="CM136" s="268"/>
      <c r="CN136" s="268"/>
      <c r="CO136" s="268"/>
      <c r="CP136" s="268"/>
      <c r="CQ136" s="268"/>
      <c r="CR136" s="268"/>
      <c r="CS136" s="268"/>
      <c r="CT136" s="268"/>
      <c r="CU136" s="268"/>
      <c r="CV136" s="268"/>
      <c r="CW136" s="268"/>
      <c r="CX136" s="268"/>
      <c r="CY136" s="268"/>
      <c r="CZ136" s="268"/>
      <c r="DA136" s="268"/>
      <c r="DB136" s="268"/>
      <c r="DC136" s="268"/>
      <c r="DD136" s="268"/>
      <c r="DE136" s="268"/>
      <c r="DF136" s="268"/>
      <c r="DG136" s="268"/>
      <c r="DH136" s="268"/>
      <c r="DI136" s="268"/>
      <c r="DJ136" s="268"/>
      <c r="DK136" s="268"/>
      <c r="DL136" s="268"/>
      <c r="DM136" s="268"/>
      <c r="DN136" s="268"/>
      <c r="DO136" s="268"/>
      <c r="DP136" s="268"/>
      <c r="DQ136" s="268"/>
      <c r="DR136" s="268"/>
      <c r="DS136" s="268"/>
      <c r="DT136" s="268"/>
      <c r="DU136" s="268"/>
      <c r="DV136" s="268"/>
      <c r="DW136" s="344"/>
      <c r="DX136" s="344"/>
      <c r="DY136" s="344"/>
      <c r="DZ136" s="344"/>
      <c r="EA136" s="344"/>
      <c r="EB136" s="344"/>
      <c r="EC136" s="344"/>
      <c r="ED136" s="344"/>
      <c r="EE136" s="344"/>
      <c r="EF136" s="344"/>
      <c r="EG136" s="344"/>
      <c r="EH136" s="344"/>
    </row>
    <row r="137" spans="1:138">
      <c r="A137" s="268"/>
      <c r="B137" s="342"/>
      <c r="C137" s="517" t="s">
        <v>339</v>
      </c>
      <c r="D137" s="525" t="e">
        <f>BX128+BX129</f>
        <v>#VALUE!</v>
      </c>
      <c r="E137" s="268"/>
      <c r="F137" s="268"/>
      <c r="G137" s="268"/>
      <c r="H137" s="268"/>
      <c r="I137" s="268"/>
      <c r="J137" s="268"/>
      <c r="K137" s="268"/>
      <c r="L137" s="268"/>
      <c r="M137" s="268"/>
      <c r="N137" s="268"/>
      <c r="O137" s="268"/>
      <c r="P137" s="268"/>
      <c r="Q137" s="268"/>
      <c r="R137" s="268"/>
      <c r="S137" s="268"/>
      <c r="T137" s="268"/>
      <c r="U137" s="268"/>
      <c r="V137" s="268"/>
      <c r="W137" s="268"/>
      <c r="X137" s="268"/>
      <c r="Y137" s="268"/>
      <c r="Z137" s="268"/>
      <c r="AA137" s="268"/>
      <c r="AB137" s="268"/>
      <c r="AC137" s="268"/>
      <c r="AD137" s="268"/>
      <c r="AE137" s="268"/>
      <c r="AF137" s="268"/>
      <c r="AG137" s="268"/>
      <c r="AH137" s="268"/>
      <c r="AI137" s="268"/>
      <c r="AJ137" s="268"/>
      <c r="AK137" s="268"/>
      <c r="AL137" s="268"/>
      <c r="AM137" s="268"/>
      <c r="AN137" s="268"/>
      <c r="AO137" s="268"/>
      <c r="AP137" s="268"/>
      <c r="AQ137" s="268"/>
      <c r="AR137" s="268"/>
      <c r="AS137" s="268"/>
      <c r="AT137" s="268"/>
      <c r="AU137" s="268"/>
      <c r="AV137" s="268"/>
      <c r="AW137" s="268"/>
      <c r="AX137" s="268"/>
      <c r="AY137" s="268"/>
      <c r="AZ137" s="268"/>
      <c r="BA137" s="268"/>
      <c r="BB137" s="268"/>
      <c r="BC137" s="268"/>
      <c r="BD137" s="268"/>
      <c r="BE137" s="268"/>
      <c r="BF137" s="268"/>
      <c r="BG137" s="268"/>
      <c r="BH137" s="268"/>
      <c r="BI137" s="268"/>
      <c r="BJ137" s="268"/>
      <c r="BK137" s="268"/>
      <c r="BL137" s="268"/>
      <c r="BM137" s="268"/>
      <c r="BN137" s="268"/>
      <c r="BO137" s="268"/>
      <c r="BP137" s="268"/>
      <c r="BQ137" s="268"/>
      <c r="BR137" s="268"/>
      <c r="BS137" s="268"/>
      <c r="BT137" s="268"/>
      <c r="BU137" s="268"/>
      <c r="BV137" s="268"/>
      <c r="BW137" s="268"/>
      <c r="BX137" s="268"/>
      <c r="BY137" s="268"/>
      <c r="BZ137" s="268"/>
      <c r="CA137" s="268"/>
      <c r="CB137" s="268"/>
      <c r="CC137" s="268"/>
      <c r="CD137" s="268"/>
      <c r="CE137" s="268"/>
      <c r="CF137" s="268"/>
      <c r="CG137" s="268"/>
      <c r="CH137" s="268"/>
      <c r="CI137" s="268"/>
      <c r="CJ137" s="268"/>
      <c r="CK137" s="268"/>
      <c r="CL137" s="268"/>
      <c r="CM137" s="268"/>
      <c r="CN137" s="268"/>
      <c r="CO137" s="268"/>
      <c r="CP137" s="268"/>
      <c r="CQ137" s="268"/>
      <c r="CR137" s="268"/>
      <c r="CS137" s="268"/>
      <c r="CT137" s="268"/>
      <c r="CU137" s="268"/>
      <c r="CV137" s="268"/>
      <c r="CW137" s="268"/>
      <c r="CX137" s="268"/>
      <c r="CY137" s="268"/>
      <c r="CZ137" s="268"/>
      <c r="DA137" s="268"/>
      <c r="DB137" s="268"/>
      <c r="DC137" s="268"/>
      <c r="DD137" s="268"/>
      <c r="DE137" s="268"/>
      <c r="DF137" s="268"/>
      <c r="DG137" s="268"/>
      <c r="DH137" s="268"/>
      <c r="DI137" s="268"/>
      <c r="DJ137" s="268"/>
      <c r="DK137" s="268"/>
      <c r="DL137" s="268"/>
      <c r="DM137" s="268"/>
      <c r="DN137" s="268"/>
      <c r="DO137" s="268"/>
      <c r="DP137" s="268"/>
      <c r="DQ137" s="268"/>
      <c r="DR137" s="268"/>
      <c r="DS137" s="268"/>
      <c r="DT137" s="268"/>
      <c r="DU137" s="268"/>
      <c r="DV137" s="268"/>
      <c r="DW137" s="344"/>
      <c r="DX137" s="344"/>
      <c r="DY137" s="344"/>
      <c r="DZ137" s="344"/>
      <c r="EA137" s="344"/>
      <c r="EB137" s="344"/>
      <c r="EC137" s="344"/>
      <c r="ED137" s="344"/>
      <c r="EE137" s="344"/>
      <c r="EF137" s="344"/>
      <c r="EG137" s="344"/>
      <c r="EH137" s="344"/>
    </row>
    <row r="138" spans="1:138">
      <c r="A138" s="268"/>
      <c r="B138" s="342"/>
      <c r="C138" s="517" t="s">
        <v>340</v>
      </c>
      <c r="D138" s="522" t="e">
        <f>(D137-D135)/D136</f>
        <v>#VALUE!</v>
      </c>
      <c r="E138" s="268"/>
      <c r="F138" s="268"/>
      <c r="G138" s="268"/>
      <c r="H138" s="268"/>
      <c r="I138" s="268"/>
      <c r="J138" s="268"/>
      <c r="K138" s="268"/>
      <c r="L138" s="268"/>
      <c r="M138" s="268"/>
      <c r="N138" s="268"/>
      <c r="O138" s="268"/>
      <c r="P138" s="268"/>
      <c r="Q138" s="268"/>
      <c r="R138" s="268"/>
      <c r="S138" s="268"/>
      <c r="T138" s="268"/>
      <c r="U138" s="268"/>
      <c r="V138" s="268"/>
      <c r="W138" s="268"/>
      <c r="X138" s="268"/>
      <c r="Y138" s="268"/>
      <c r="Z138" s="268"/>
      <c r="AA138" s="268"/>
      <c r="AB138" s="268"/>
      <c r="AC138" s="268"/>
      <c r="AD138" s="268"/>
      <c r="AE138" s="268"/>
      <c r="AF138" s="268"/>
      <c r="AG138" s="268"/>
      <c r="AH138" s="268"/>
      <c r="AI138" s="268"/>
      <c r="AJ138" s="268"/>
      <c r="AK138" s="268"/>
      <c r="AL138" s="268"/>
      <c r="AM138" s="268"/>
      <c r="AN138" s="268"/>
      <c r="AO138" s="268"/>
      <c r="AP138" s="268"/>
      <c r="AQ138" s="268"/>
      <c r="AR138" s="268"/>
      <c r="AS138" s="268"/>
      <c r="AT138" s="268"/>
      <c r="AU138" s="268"/>
      <c r="AV138" s="268"/>
      <c r="AW138" s="268"/>
      <c r="AX138" s="268"/>
      <c r="AY138" s="268"/>
      <c r="AZ138" s="268"/>
      <c r="BA138" s="268"/>
      <c r="BB138" s="268"/>
      <c r="BC138" s="268"/>
      <c r="BD138" s="268"/>
      <c r="BE138" s="268"/>
      <c r="BF138" s="268"/>
      <c r="BG138" s="268"/>
      <c r="BH138" s="268"/>
      <c r="BI138" s="268"/>
      <c r="BJ138" s="268"/>
      <c r="BK138" s="268"/>
      <c r="BL138" s="268"/>
      <c r="BM138" s="268"/>
      <c r="BN138" s="268"/>
      <c r="BO138" s="268"/>
      <c r="BP138" s="268"/>
      <c r="BQ138" s="268"/>
      <c r="BR138" s="268"/>
      <c r="BS138" s="268"/>
      <c r="BT138" s="268"/>
      <c r="BU138" s="268"/>
      <c r="BV138" s="268"/>
      <c r="BW138" s="268"/>
      <c r="BX138" s="268"/>
      <c r="BY138" s="268"/>
      <c r="BZ138" s="268"/>
      <c r="CA138" s="268"/>
      <c r="CB138" s="268"/>
      <c r="CC138" s="268"/>
      <c r="CD138" s="268"/>
      <c r="CE138" s="268"/>
      <c r="CF138" s="268"/>
      <c r="CG138" s="268"/>
      <c r="CH138" s="268"/>
      <c r="CI138" s="268"/>
      <c r="CJ138" s="268"/>
      <c r="CK138" s="268"/>
      <c r="CL138" s="268"/>
      <c r="CM138" s="268"/>
      <c r="CN138" s="268"/>
      <c r="CO138" s="268"/>
      <c r="CP138" s="268"/>
      <c r="CQ138" s="268"/>
      <c r="CR138" s="268"/>
      <c r="CS138" s="268"/>
      <c r="CT138" s="268"/>
      <c r="CU138" s="268"/>
      <c r="CV138" s="268"/>
      <c r="CW138" s="268"/>
      <c r="CX138" s="268"/>
      <c r="CY138" s="268"/>
      <c r="CZ138" s="268"/>
      <c r="DA138" s="268"/>
      <c r="DB138" s="268"/>
      <c r="DC138" s="268"/>
      <c r="DD138" s="268"/>
      <c r="DE138" s="268"/>
      <c r="DF138" s="268"/>
      <c r="DG138" s="268"/>
      <c r="DH138" s="268"/>
      <c r="DI138" s="268"/>
      <c r="DJ138" s="268"/>
      <c r="DK138" s="268"/>
      <c r="DL138" s="268"/>
      <c r="DM138" s="268"/>
      <c r="DN138" s="268"/>
      <c r="DO138" s="268"/>
      <c r="DP138" s="268"/>
      <c r="DQ138" s="268"/>
      <c r="DR138" s="268"/>
      <c r="DS138" s="268"/>
      <c r="DT138" s="268"/>
      <c r="DU138" s="268"/>
      <c r="DV138" s="268"/>
      <c r="DW138" s="344"/>
      <c r="DX138" s="344"/>
      <c r="DY138" s="344"/>
      <c r="DZ138" s="344"/>
      <c r="EA138" s="344"/>
      <c r="EB138" s="344"/>
      <c r="EC138" s="344"/>
      <c r="ED138" s="344"/>
      <c r="EE138" s="344"/>
      <c r="EF138" s="344"/>
      <c r="EG138" s="344"/>
      <c r="EH138" s="344"/>
    </row>
    <row r="139" spans="1:138">
      <c r="A139" s="268"/>
      <c r="B139" s="342"/>
      <c r="E139" s="268"/>
      <c r="F139" s="268"/>
      <c r="G139" s="268"/>
      <c r="H139" s="268"/>
      <c r="I139" s="268"/>
      <c r="J139" s="268"/>
      <c r="K139" s="268"/>
      <c r="L139" s="268"/>
      <c r="M139" s="268"/>
      <c r="N139" s="268"/>
      <c r="O139" s="268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68"/>
      <c r="AA139" s="268"/>
      <c r="AB139" s="268"/>
      <c r="AC139" s="268"/>
      <c r="AD139" s="268"/>
      <c r="AE139" s="268"/>
      <c r="AF139" s="268"/>
      <c r="AG139" s="268"/>
      <c r="AH139" s="268"/>
      <c r="AI139" s="268"/>
      <c r="AJ139" s="268"/>
      <c r="AK139" s="268"/>
      <c r="AL139" s="268"/>
      <c r="AM139" s="268"/>
      <c r="AN139" s="268"/>
      <c r="AO139" s="268"/>
      <c r="AP139" s="268"/>
      <c r="AQ139" s="268"/>
      <c r="AR139" s="268"/>
      <c r="AS139" s="268"/>
      <c r="AT139" s="268"/>
      <c r="AU139" s="268"/>
      <c r="AV139" s="268"/>
      <c r="AW139" s="268"/>
      <c r="AX139" s="268"/>
      <c r="AY139" s="268"/>
      <c r="AZ139" s="268"/>
      <c r="BA139" s="268"/>
      <c r="BB139" s="268"/>
      <c r="BC139" s="268"/>
      <c r="BD139" s="268"/>
      <c r="BE139" s="268"/>
      <c r="BF139" s="268"/>
      <c r="BG139" s="268"/>
      <c r="BH139" s="268"/>
      <c r="BI139" s="268"/>
      <c r="BJ139" s="268"/>
      <c r="BK139" s="268"/>
      <c r="BL139" s="268"/>
      <c r="BM139" s="268"/>
      <c r="BN139" s="268"/>
      <c r="BO139" s="268"/>
      <c r="BP139" s="268"/>
      <c r="BQ139" s="268"/>
      <c r="BR139" s="268"/>
      <c r="BS139" s="268"/>
      <c r="BT139" s="268"/>
      <c r="BU139" s="268"/>
      <c r="BV139" s="268"/>
      <c r="BW139" s="268"/>
      <c r="BX139" s="268"/>
      <c r="BY139" s="268"/>
      <c r="BZ139" s="268"/>
      <c r="CA139" s="268"/>
      <c r="CB139" s="268"/>
      <c r="CC139" s="268"/>
      <c r="CD139" s="268"/>
      <c r="CE139" s="268"/>
      <c r="CF139" s="268"/>
      <c r="CG139" s="268"/>
      <c r="CH139" s="268"/>
      <c r="CI139" s="268"/>
      <c r="CJ139" s="268"/>
      <c r="CK139" s="268"/>
      <c r="CL139" s="268"/>
      <c r="CM139" s="268"/>
      <c r="CN139" s="268"/>
      <c r="CO139" s="268"/>
      <c r="CP139" s="268"/>
      <c r="CQ139" s="268"/>
      <c r="CR139" s="268"/>
      <c r="CS139" s="268"/>
      <c r="CT139" s="268"/>
      <c r="CU139" s="268"/>
      <c r="CV139" s="268"/>
      <c r="CW139" s="268"/>
      <c r="CX139" s="268"/>
      <c r="CY139" s="268"/>
      <c r="CZ139" s="268"/>
      <c r="DA139" s="268"/>
      <c r="DB139" s="268"/>
      <c r="DC139" s="268"/>
      <c r="DD139" s="268"/>
      <c r="DE139" s="268"/>
      <c r="DF139" s="268"/>
      <c r="DG139" s="268"/>
      <c r="DH139" s="268"/>
      <c r="DI139" s="268"/>
      <c r="DJ139" s="268"/>
      <c r="DK139" s="268"/>
      <c r="DL139" s="268"/>
      <c r="DM139" s="268"/>
      <c r="DN139" s="268"/>
      <c r="DO139" s="268"/>
      <c r="DP139" s="268"/>
      <c r="DQ139" s="268"/>
      <c r="DR139" s="268"/>
      <c r="DS139" s="268"/>
      <c r="DT139" s="268"/>
      <c r="DU139" s="268"/>
      <c r="DV139" s="268"/>
      <c r="DW139" s="344"/>
      <c r="DX139" s="344"/>
      <c r="DY139" s="344"/>
      <c r="DZ139" s="344"/>
      <c r="EA139" s="344"/>
      <c r="EB139" s="344"/>
      <c r="EC139" s="344"/>
      <c r="ED139" s="344"/>
      <c r="EE139" s="344"/>
      <c r="EF139" s="344"/>
      <c r="EG139" s="344"/>
      <c r="EH139" s="344"/>
    </row>
    <row r="140" spans="1:138">
      <c r="A140" s="268"/>
      <c r="B140" s="342"/>
      <c r="E140" s="268"/>
      <c r="F140" s="268"/>
      <c r="G140" s="268"/>
      <c r="H140" s="268"/>
      <c r="I140" s="268"/>
      <c r="J140" s="268"/>
      <c r="K140" s="268"/>
      <c r="L140" s="268"/>
      <c r="M140" s="268"/>
      <c r="N140" s="268"/>
      <c r="O140" s="268"/>
      <c r="P140" s="268"/>
      <c r="Q140" s="268"/>
      <c r="R140" s="268"/>
      <c r="S140" s="268"/>
      <c r="T140" s="268"/>
      <c r="U140" s="268"/>
      <c r="V140" s="268"/>
      <c r="W140" s="268"/>
      <c r="X140" s="268"/>
      <c r="Y140" s="268"/>
      <c r="Z140" s="268"/>
      <c r="AA140" s="268"/>
      <c r="AB140" s="268"/>
      <c r="AC140" s="268"/>
      <c r="AD140" s="268"/>
      <c r="AE140" s="268"/>
      <c r="AF140" s="268"/>
      <c r="AG140" s="268"/>
      <c r="AH140" s="268"/>
      <c r="AI140" s="268"/>
      <c r="AJ140" s="268"/>
      <c r="AK140" s="268"/>
      <c r="AL140" s="268"/>
      <c r="AM140" s="268"/>
      <c r="AN140" s="268"/>
      <c r="AO140" s="268"/>
      <c r="AP140" s="268"/>
      <c r="AQ140" s="268"/>
      <c r="AR140" s="268"/>
      <c r="AS140" s="268"/>
      <c r="AT140" s="268"/>
      <c r="AU140" s="268"/>
      <c r="AV140" s="268"/>
      <c r="AW140" s="268"/>
      <c r="AX140" s="268"/>
      <c r="AY140" s="268"/>
      <c r="AZ140" s="268"/>
      <c r="BA140" s="268"/>
      <c r="BB140" s="268"/>
      <c r="BC140" s="268"/>
      <c r="BD140" s="268"/>
      <c r="BE140" s="268"/>
      <c r="BF140" s="268"/>
      <c r="BG140" s="268"/>
      <c r="BH140" s="268"/>
      <c r="BI140" s="268"/>
      <c r="BJ140" s="268"/>
      <c r="BK140" s="268"/>
      <c r="BL140" s="268"/>
      <c r="BM140" s="268"/>
      <c r="BN140" s="268"/>
      <c r="BO140" s="268"/>
      <c r="BP140" s="268"/>
      <c r="BQ140" s="268"/>
      <c r="BR140" s="268"/>
      <c r="BS140" s="268"/>
      <c r="BT140" s="268"/>
      <c r="BU140" s="268"/>
      <c r="BV140" s="268"/>
      <c r="BW140" s="268"/>
      <c r="BX140" s="268"/>
      <c r="BY140" s="268"/>
      <c r="BZ140" s="268"/>
      <c r="CA140" s="268"/>
      <c r="CB140" s="268"/>
      <c r="CC140" s="268"/>
      <c r="CD140" s="268"/>
      <c r="CE140" s="268"/>
      <c r="CF140" s="268"/>
      <c r="CG140" s="268"/>
      <c r="CH140" s="268"/>
      <c r="CI140" s="268"/>
      <c r="CJ140" s="268"/>
      <c r="CK140" s="268"/>
      <c r="CL140" s="268"/>
      <c r="CM140" s="268"/>
      <c r="CN140" s="268"/>
      <c r="CO140" s="268"/>
      <c r="CP140" s="268"/>
      <c r="CQ140" s="268"/>
      <c r="CR140" s="268"/>
      <c r="CS140" s="268"/>
      <c r="CT140" s="268"/>
      <c r="CU140" s="268"/>
      <c r="CV140" s="268"/>
      <c r="CW140" s="268"/>
      <c r="CX140" s="268"/>
      <c r="CY140" s="268"/>
      <c r="CZ140" s="268"/>
      <c r="DA140" s="268"/>
      <c r="DB140" s="268"/>
      <c r="DC140" s="268"/>
      <c r="DD140" s="268"/>
      <c r="DE140" s="268"/>
      <c r="DF140" s="268"/>
      <c r="DG140" s="268"/>
      <c r="DH140" s="268"/>
      <c r="DI140" s="268"/>
      <c r="DJ140" s="268"/>
      <c r="DK140" s="268"/>
      <c r="DL140" s="268"/>
      <c r="DM140" s="268"/>
      <c r="DN140" s="268"/>
      <c r="DO140" s="268"/>
      <c r="DP140" s="268"/>
      <c r="DQ140" s="268"/>
      <c r="DR140" s="268"/>
      <c r="DS140" s="268"/>
      <c r="DT140" s="268"/>
      <c r="DU140" s="268"/>
      <c r="DV140" s="268"/>
      <c r="DW140" s="344"/>
      <c r="DX140" s="344"/>
      <c r="DY140" s="344"/>
      <c r="DZ140" s="344"/>
      <c r="EA140" s="344"/>
      <c r="EB140" s="344"/>
      <c r="EC140" s="344"/>
      <c r="ED140" s="344"/>
      <c r="EE140" s="344"/>
      <c r="EF140" s="344"/>
      <c r="EG140" s="344"/>
      <c r="EH140" s="344"/>
    </row>
    <row r="141" spans="1:138">
      <c r="A141" s="268"/>
      <c r="B141" s="342"/>
      <c r="E141" s="268"/>
      <c r="F141" s="268"/>
      <c r="G141" s="268"/>
      <c r="H141" s="268"/>
      <c r="I141" s="268"/>
      <c r="J141" s="268"/>
      <c r="K141" s="268"/>
      <c r="L141" s="268"/>
      <c r="M141" s="268"/>
      <c r="N141" s="268"/>
      <c r="O141" s="268"/>
      <c r="P141" s="268"/>
      <c r="Q141" s="268"/>
      <c r="R141" s="268"/>
      <c r="S141" s="268"/>
      <c r="T141" s="268"/>
      <c r="U141" s="268"/>
      <c r="V141" s="268"/>
      <c r="W141" s="268"/>
      <c r="X141" s="268"/>
      <c r="Y141" s="268"/>
      <c r="Z141" s="268"/>
      <c r="AA141" s="268"/>
      <c r="AB141" s="268"/>
      <c r="AC141" s="268"/>
      <c r="AD141" s="268"/>
      <c r="AE141" s="268"/>
      <c r="AF141" s="268"/>
      <c r="AG141" s="268"/>
      <c r="AH141" s="268"/>
      <c r="AI141" s="268"/>
      <c r="AJ141" s="268"/>
      <c r="AK141" s="268"/>
      <c r="AL141" s="268"/>
      <c r="AM141" s="268"/>
      <c r="AN141" s="268"/>
      <c r="AO141" s="268"/>
      <c r="AP141" s="268"/>
      <c r="AQ141" s="268"/>
      <c r="AR141" s="268"/>
      <c r="AS141" s="268"/>
      <c r="AT141" s="268"/>
      <c r="AU141" s="268"/>
      <c r="AV141" s="268"/>
      <c r="AW141" s="268"/>
      <c r="AX141" s="268"/>
      <c r="AY141" s="268"/>
      <c r="AZ141" s="268"/>
      <c r="BA141" s="268"/>
      <c r="BB141" s="268"/>
      <c r="BC141" s="268"/>
      <c r="BD141" s="268"/>
      <c r="BE141" s="268"/>
      <c r="BF141" s="268"/>
      <c r="BG141" s="268"/>
      <c r="BH141" s="268"/>
      <c r="BI141" s="268"/>
      <c r="BJ141" s="268"/>
      <c r="BK141" s="268"/>
      <c r="BL141" s="268"/>
      <c r="BM141" s="268"/>
      <c r="BN141" s="268"/>
      <c r="BO141" s="268"/>
      <c r="BP141" s="268"/>
      <c r="BQ141" s="268"/>
      <c r="BR141" s="268"/>
      <c r="BS141" s="268"/>
      <c r="BT141" s="268"/>
      <c r="BU141" s="268"/>
      <c r="BV141" s="268"/>
      <c r="BW141" s="268"/>
      <c r="BX141" s="268"/>
      <c r="BY141" s="268"/>
      <c r="BZ141" s="268"/>
      <c r="CA141" s="268"/>
      <c r="CB141" s="268"/>
      <c r="CC141" s="268"/>
      <c r="CD141" s="268"/>
      <c r="CE141" s="268"/>
      <c r="CF141" s="268"/>
      <c r="CG141" s="268"/>
      <c r="CH141" s="268"/>
      <c r="CI141" s="268"/>
      <c r="CJ141" s="268"/>
      <c r="CK141" s="268"/>
      <c r="CL141" s="268"/>
      <c r="CM141" s="268"/>
      <c r="CN141" s="268"/>
      <c r="CO141" s="268"/>
      <c r="CP141" s="268"/>
      <c r="CQ141" s="268"/>
      <c r="CR141" s="268"/>
      <c r="CS141" s="268"/>
      <c r="CT141" s="268"/>
      <c r="CU141" s="268"/>
      <c r="CV141" s="268"/>
      <c r="CW141" s="268"/>
      <c r="CX141" s="268"/>
      <c r="CY141" s="268"/>
      <c r="CZ141" s="268"/>
      <c r="DA141" s="268"/>
      <c r="DB141" s="268"/>
      <c r="DC141" s="268"/>
      <c r="DD141" s="268"/>
      <c r="DE141" s="268"/>
      <c r="DF141" s="268"/>
      <c r="DG141" s="268"/>
      <c r="DH141" s="268"/>
      <c r="DI141" s="268"/>
      <c r="DJ141" s="268"/>
      <c r="DK141" s="268"/>
      <c r="DL141" s="268"/>
      <c r="DM141" s="268"/>
      <c r="DN141" s="268"/>
      <c r="DO141" s="268"/>
      <c r="DP141" s="268"/>
      <c r="DQ141" s="268"/>
      <c r="DR141" s="268"/>
      <c r="DS141" s="268"/>
      <c r="DT141" s="268"/>
      <c r="DU141" s="268"/>
      <c r="DV141" s="268"/>
      <c r="DW141" s="344"/>
      <c r="DX141" s="344"/>
      <c r="DY141" s="344"/>
      <c r="DZ141" s="344"/>
      <c r="EA141" s="344"/>
      <c r="EB141" s="344"/>
      <c r="EC141" s="344"/>
      <c r="ED141" s="344"/>
      <c r="EE141" s="344"/>
      <c r="EF141" s="344"/>
      <c r="EG141" s="344"/>
      <c r="EH141" s="344"/>
    </row>
    <row r="142" spans="1:138">
      <c r="A142" s="268"/>
      <c r="B142" s="342"/>
      <c r="C142" s="339" t="s">
        <v>345</v>
      </c>
      <c r="D142" s="515"/>
      <c r="E142" s="515">
        <f t="shared" ref="E142:O142" si="53">-(E7+E92)</f>
        <v>0</v>
      </c>
      <c r="F142" s="515">
        <f t="shared" si="53"/>
        <v>0</v>
      </c>
      <c r="G142" s="515">
        <f t="shared" si="53"/>
        <v>0</v>
      </c>
      <c r="H142" s="515">
        <f t="shared" si="53"/>
        <v>0</v>
      </c>
      <c r="I142" s="515">
        <f t="shared" si="53"/>
        <v>0</v>
      </c>
      <c r="J142" s="515">
        <f t="shared" si="53"/>
        <v>0</v>
      </c>
      <c r="K142" s="515">
        <f t="shared" si="53"/>
        <v>0</v>
      </c>
      <c r="L142" s="515">
        <f t="shared" si="53"/>
        <v>0</v>
      </c>
      <c r="M142" s="515">
        <f t="shared" si="53"/>
        <v>0</v>
      </c>
      <c r="N142" s="515">
        <f t="shared" si="53"/>
        <v>0</v>
      </c>
      <c r="O142" s="515">
        <f t="shared" si="53"/>
        <v>0</v>
      </c>
      <c r="P142" s="515">
        <f t="shared" ref="P142:AC142" si="54">P111+P126</f>
        <v>0</v>
      </c>
      <c r="Q142" s="515">
        <f t="shared" si="54"/>
        <v>0</v>
      </c>
      <c r="R142" s="515">
        <f t="shared" si="54"/>
        <v>0</v>
      </c>
      <c r="S142" s="515">
        <f t="shared" si="54"/>
        <v>-1200000</v>
      </c>
      <c r="T142" s="515">
        <f t="shared" si="54"/>
        <v>-15000000</v>
      </c>
      <c r="U142" s="515">
        <f t="shared" si="54"/>
        <v>-3700000</v>
      </c>
      <c r="V142" s="515">
        <f t="shared" si="54"/>
        <v>0</v>
      </c>
      <c r="W142" s="515">
        <f t="shared" si="54"/>
        <v>0</v>
      </c>
      <c r="X142" s="515">
        <f t="shared" si="54"/>
        <v>0</v>
      </c>
      <c r="Y142" s="515">
        <f t="shared" si="54"/>
        <v>0</v>
      </c>
      <c r="Z142" s="515">
        <f t="shared" si="54"/>
        <v>0</v>
      </c>
      <c r="AA142" s="515">
        <f t="shared" si="54"/>
        <v>0</v>
      </c>
      <c r="AB142" s="515">
        <f t="shared" si="54"/>
        <v>0</v>
      </c>
      <c r="AC142" s="515">
        <f t="shared" si="54"/>
        <v>19900000</v>
      </c>
      <c r="AD142" s="515">
        <f t="shared" ref="AD142:BX142" si="55">-(AD7+AD92)</f>
        <v>0</v>
      </c>
      <c r="AE142" s="515">
        <f t="shared" si="55"/>
        <v>0</v>
      </c>
      <c r="AF142" s="515">
        <f t="shared" si="55"/>
        <v>0</v>
      </c>
      <c r="AG142" s="515">
        <f t="shared" si="55"/>
        <v>0</v>
      </c>
      <c r="AH142" s="515">
        <f t="shared" si="55"/>
        <v>0</v>
      </c>
      <c r="AI142" s="515">
        <f t="shared" si="55"/>
        <v>0</v>
      </c>
      <c r="AJ142" s="515">
        <f t="shared" si="55"/>
        <v>0</v>
      </c>
      <c r="AK142" s="515">
        <f t="shared" si="55"/>
        <v>0</v>
      </c>
      <c r="AL142" s="515">
        <f t="shared" si="55"/>
        <v>0</v>
      </c>
      <c r="AM142" s="515">
        <f t="shared" si="55"/>
        <v>0</v>
      </c>
      <c r="AN142" s="515">
        <f t="shared" si="55"/>
        <v>0</v>
      </c>
      <c r="AO142" s="515">
        <f t="shared" si="55"/>
        <v>0</v>
      </c>
      <c r="AP142" s="515">
        <f t="shared" si="55"/>
        <v>0</v>
      </c>
      <c r="AQ142" s="515">
        <f t="shared" si="55"/>
        <v>0</v>
      </c>
      <c r="AR142" s="515">
        <f t="shared" si="55"/>
        <v>0</v>
      </c>
      <c r="AS142" s="515">
        <f t="shared" si="55"/>
        <v>0</v>
      </c>
      <c r="AT142" s="515">
        <f t="shared" si="55"/>
        <v>0</v>
      </c>
      <c r="AU142" s="515">
        <f t="shared" si="55"/>
        <v>0</v>
      </c>
      <c r="AV142" s="515">
        <f t="shared" si="55"/>
        <v>0</v>
      </c>
      <c r="AW142" s="515">
        <f t="shared" si="55"/>
        <v>0</v>
      </c>
      <c r="AX142" s="515">
        <f t="shared" si="55"/>
        <v>0</v>
      </c>
      <c r="AY142" s="515">
        <f t="shared" si="55"/>
        <v>0</v>
      </c>
      <c r="AZ142" s="515">
        <f t="shared" si="55"/>
        <v>0</v>
      </c>
      <c r="BA142" s="515">
        <f t="shared" si="55"/>
        <v>0</v>
      </c>
      <c r="BB142" s="515">
        <f t="shared" si="55"/>
        <v>0</v>
      </c>
      <c r="BC142" s="515">
        <f t="shared" si="55"/>
        <v>0</v>
      </c>
      <c r="BD142" s="515">
        <f t="shared" si="55"/>
        <v>0</v>
      </c>
      <c r="BE142" s="515">
        <f t="shared" si="55"/>
        <v>0</v>
      </c>
      <c r="BF142" s="515">
        <f t="shared" si="55"/>
        <v>0</v>
      </c>
      <c r="BG142" s="515">
        <f t="shared" si="55"/>
        <v>0</v>
      </c>
      <c r="BH142" s="515">
        <f t="shared" si="55"/>
        <v>0</v>
      </c>
      <c r="BI142" s="515">
        <f t="shared" si="55"/>
        <v>0</v>
      </c>
      <c r="BJ142" s="515">
        <f t="shared" si="55"/>
        <v>0</v>
      </c>
      <c r="BK142" s="515">
        <f t="shared" si="55"/>
        <v>0</v>
      </c>
      <c r="BL142" s="515">
        <f t="shared" si="55"/>
        <v>0</v>
      </c>
      <c r="BM142" s="515">
        <f t="shared" si="55"/>
        <v>0</v>
      </c>
      <c r="BN142" s="515">
        <f t="shared" si="55"/>
        <v>0</v>
      </c>
      <c r="BO142" s="515">
        <f t="shared" si="55"/>
        <v>0</v>
      </c>
      <c r="BP142" s="515">
        <f t="shared" si="55"/>
        <v>0</v>
      </c>
      <c r="BQ142" s="515">
        <f t="shared" si="55"/>
        <v>0</v>
      </c>
      <c r="BR142" s="515">
        <f t="shared" si="55"/>
        <v>0</v>
      </c>
      <c r="BS142" s="515">
        <f t="shared" si="55"/>
        <v>0</v>
      </c>
      <c r="BT142" s="515">
        <f t="shared" si="55"/>
        <v>0</v>
      </c>
      <c r="BU142" s="515">
        <f t="shared" si="55"/>
        <v>0</v>
      </c>
      <c r="BV142" s="515">
        <f t="shared" si="55"/>
        <v>0</v>
      </c>
      <c r="BW142" s="515">
        <f t="shared" si="55"/>
        <v>0</v>
      </c>
      <c r="BX142" s="515">
        <f t="shared" si="55"/>
        <v>0</v>
      </c>
      <c r="BY142" s="268"/>
      <c r="BZ142" s="268"/>
      <c r="CA142" s="268"/>
      <c r="CB142" s="268"/>
      <c r="CC142" s="268"/>
      <c r="CD142" s="268"/>
      <c r="CE142" s="268"/>
      <c r="CF142" s="268"/>
      <c r="CG142" s="268"/>
      <c r="CH142" s="268"/>
      <c r="CI142" s="268"/>
      <c r="CJ142" s="268"/>
      <c r="CK142" s="268"/>
      <c r="CL142" s="268"/>
      <c r="CM142" s="268"/>
      <c r="CN142" s="268"/>
      <c r="CO142" s="268"/>
      <c r="CP142" s="268"/>
      <c r="CQ142" s="268"/>
      <c r="CR142" s="268"/>
      <c r="CS142" s="268"/>
      <c r="CT142" s="268"/>
      <c r="CU142" s="268"/>
      <c r="CV142" s="268"/>
      <c r="CW142" s="268"/>
      <c r="CX142" s="268"/>
      <c r="CY142" s="268"/>
      <c r="CZ142" s="268"/>
      <c r="DA142" s="268"/>
      <c r="DB142" s="268"/>
      <c r="DC142" s="268"/>
      <c r="DD142" s="268"/>
      <c r="DE142" s="268"/>
      <c r="DF142" s="268"/>
      <c r="DG142" s="268"/>
      <c r="DH142" s="268"/>
      <c r="DI142" s="268"/>
      <c r="DJ142" s="268"/>
      <c r="DK142" s="268"/>
      <c r="DL142" s="268"/>
      <c r="DM142" s="268"/>
      <c r="DN142" s="268"/>
      <c r="DO142" s="268"/>
      <c r="DP142" s="268"/>
      <c r="DQ142" s="268"/>
      <c r="DR142" s="268"/>
      <c r="DS142" s="268"/>
      <c r="DT142" s="268"/>
      <c r="DU142" s="268"/>
      <c r="DV142" s="268"/>
      <c r="DW142" s="344"/>
      <c r="DX142" s="344"/>
      <c r="DY142" s="344"/>
      <c r="DZ142" s="344"/>
      <c r="EA142" s="344"/>
      <c r="EB142" s="344"/>
      <c r="EC142" s="344"/>
      <c r="ED142" s="344"/>
      <c r="EE142" s="344"/>
      <c r="EF142" s="344"/>
      <c r="EG142" s="344"/>
      <c r="EH142" s="344"/>
    </row>
    <row r="143" spans="1:138">
      <c r="A143" s="268"/>
      <c r="B143" s="342"/>
      <c r="C143" s="339" t="s">
        <v>342</v>
      </c>
      <c r="D143" s="520"/>
      <c r="E143" s="515"/>
      <c r="F143" s="515"/>
      <c r="G143" s="515"/>
      <c r="H143" s="515"/>
      <c r="I143" s="515"/>
      <c r="J143" s="515"/>
      <c r="K143" s="515"/>
      <c r="L143" s="515"/>
      <c r="M143" s="515"/>
      <c r="N143" s="515"/>
      <c r="O143" s="515"/>
      <c r="P143" s="515"/>
      <c r="Q143" s="515"/>
      <c r="R143" s="515"/>
      <c r="S143" s="515"/>
      <c r="T143" s="515"/>
      <c r="U143" s="515"/>
      <c r="V143" s="515"/>
      <c r="W143" s="515"/>
      <c r="X143" s="515"/>
      <c r="Y143" s="515"/>
      <c r="Z143" s="515"/>
      <c r="AA143" s="515"/>
      <c r="AB143" s="515"/>
      <c r="AC143" s="515"/>
      <c r="AD143" s="515"/>
      <c r="AE143" s="515"/>
      <c r="AF143" s="515"/>
      <c r="AG143" s="515"/>
      <c r="AH143" s="515"/>
      <c r="AI143" s="515"/>
      <c r="AJ143" s="515"/>
      <c r="AK143" s="515"/>
      <c r="AL143" s="515"/>
      <c r="AM143" s="515"/>
      <c r="AN143" s="515"/>
      <c r="AO143" s="515"/>
      <c r="AP143" s="515"/>
      <c r="AQ143" s="515"/>
      <c r="AR143" s="515"/>
      <c r="AS143" s="515"/>
      <c r="AT143" s="515"/>
      <c r="AU143" s="515"/>
      <c r="AV143" s="515"/>
      <c r="AW143" s="515"/>
      <c r="AX143" s="515"/>
      <c r="AY143" s="515"/>
      <c r="AZ143" s="515"/>
      <c r="BA143" s="515"/>
      <c r="BB143" s="515"/>
      <c r="BC143" s="515"/>
      <c r="BD143" s="515"/>
      <c r="BE143" s="515"/>
      <c r="BF143" s="515"/>
      <c r="BG143" s="515"/>
      <c r="BH143" s="515"/>
      <c r="BI143" s="515"/>
      <c r="BJ143" s="515"/>
      <c r="BK143" s="515"/>
      <c r="BL143" s="515"/>
      <c r="BM143" s="515"/>
      <c r="BN143" s="515"/>
      <c r="BO143" s="515"/>
      <c r="BP143" s="515"/>
      <c r="BQ143" s="515"/>
      <c r="BR143" s="515"/>
      <c r="BS143" s="515"/>
      <c r="BT143" s="515"/>
      <c r="BU143" s="515"/>
      <c r="BV143" s="515"/>
      <c r="BW143" s="515"/>
      <c r="BX143" s="515"/>
      <c r="BY143" s="268"/>
      <c r="BZ143" s="268"/>
      <c r="CA143" s="268"/>
      <c r="CB143" s="268"/>
      <c r="CC143" s="268"/>
      <c r="CD143" s="268"/>
      <c r="CE143" s="268"/>
      <c r="CF143" s="268"/>
      <c r="CG143" s="268"/>
      <c r="CH143" s="268"/>
      <c r="CI143" s="268"/>
      <c r="CJ143" s="268"/>
      <c r="CK143" s="268"/>
      <c r="CL143" s="268"/>
      <c r="CM143" s="268"/>
      <c r="CN143" s="268"/>
      <c r="CO143" s="268"/>
      <c r="CP143" s="268"/>
      <c r="CQ143" s="268"/>
      <c r="CR143" s="268"/>
      <c r="CS143" s="268"/>
      <c r="CT143" s="268"/>
      <c r="CU143" s="268"/>
      <c r="CV143" s="268"/>
      <c r="CW143" s="268"/>
      <c r="CX143" s="268"/>
      <c r="CY143" s="268"/>
      <c r="CZ143" s="268"/>
      <c r="DA143" s="268"/>
      <c r="DB143" s="268"/>
      <c r="DC143" s="268"/>
      <c r="DD143" s="268"/>
      <c r="DE143" s="268"/>
      <c r="DF143" s="268"/>
      <c r="DG143" s="268"/>
      <c r="DH143" s="268"/>
      <c r="DI143" s="268"/>
      <c r="DJ143" s="268"/>
      <c r="DK143" s="268"/>
      <c r="DL143" s="268"/>
      <c r="DM143" s="268"/>
      <c r="DN143" s="268"/>
      <c r="DO143" s="268"/>
      <c r="DP143" s="268"/>
      <c r="DQ143" s="268"/>
      <c r="DR143" s="268"/>
      <c r="DS143" s="268"/>
      <c r="DT143" s="268"/>
      <c r="DU143" s="268"/>
      <c r="DV143" s="268"/>
      <c r="DW143" s="344"/>
      <c r="DX143" s="344"/>
      <c r="DY143" s="344"/>
      <c r="DZ143" s="344"/>
      <c r="EA143" s="344"/>
      <c r="EB143" s="344"/>
      <c r="EC143" s="344"/>
      <c r="ED143" s="344"/>
      <c r="EE143" s="344"/>
      <c r="EF143" s="344"/>
      <c r="EG143" s="344"/>
      <c r="EH143" s="344"/>
    </row>
    <row r="144" spans="1:138">
      <c r="A144" s="268"/>
      <c r="B144" s="342"/>
      <c r="C144" s="339" t="s">
        <v>333</v>
      </c>
      <c r="D144" s="520"/>
      <c r="E144" s="515">
        <f t="shared" ref="E144:AB144" si="56">-E57</f>
        <v>0</v>
      </c>
      <c r="F144" s="515">
        <f t="shared" si="56"/>
        <v>0</v>
      </c>
      <c r="G144" s="515">
        <f t="shared" si="56"/>
        <v>0</v>
      </c>
      <c r="H144" s="515">
        <f t="shared" si="56"/>
        <v>0</v>
      </c>
      <c r="I144" s="515">
        <f t="shared" si="56"/>
        <v>0</v>
      </c>
      <c r="J144" s="515">
        <f t="shared" si="56"/>
        <v>0</v>
      </c>
      <c r="K144" s="515">
        <f t="shared" si="56"/>
        <v>0</v>
      </c>
      <c r="L144" s="515">
        <f t="shared" si="56"/>
        <v>0</v>
      </c>
      <c r="M144" s="515">
        <f t="shared" si="56"/>
        <v>0</v>
      </c>
      <c r="N144" s="515">
        <f t="shared" si="56"/>
        <v>0</v>
      </c>
      <c r="O144" s="515">
        <f t="shared" si="56"/>
        <v>0</v>
      </c>
      <c r="P144" s="515">
        <f t="shared" si="56"/>
        <v>0</v>
      </c>
      <c r="Q144" s="515">
        <f t="shared" si="56"/>
        <v>0</v>
      </c>
      <c r="R144" s="515">
        <f t="shared" si="56"/>
        <v>0</v>
      </c>
      <c r="S144" s="515">
        <f t="shared" si="56"/>
        <v>0</v>
      </c>
      <c r="T144" s="515">
        <f t="shared" si="56"/>
        <v>0</v>
      </c>
      <c r="U144" s="515">
        <f t="shared" si="56"/>
        <v>0</v>
      </c>
      <c r="V144" s="515">
        <f t="shared" si="56"/>
        <v>0</v>
      </c>
      <c r="W144" s="515">
        <f t="shared" si="56"/>
        <v>0</v>
      </c>
      <c r="X144" s="515">
        <f t="shared" si="56"/>
        <v>0</v>
      </c>
      <c r="Y144" s="515">
        <f t="shared" si="56"/>
        <v>0</v>
      </c>
      <c r="Z144" s="515">
        <f t="shared" si="56"/>
        <v>0</v>
      </c>
      <c r="AA144" s="515">
        <f t="shared" si="56"/>
        <v>0</v>
      </c>
      <c r="AB144" s="515">
        <f t="shared" si="56"/>
        <v>0</v>
      </c>
      <c r="AC144" s="515">
        <f>-AC55-AC56</f>
        <v>1801250.0000000002</v>
      </c>
      <c r="AD144" s="515">
        <f t="shared" ref="AD144:BX144" si="57">-AD57</f>
        <v>0</v>
      </c>
      <c r="AE144" s="515">
        <f t="shared" si="57"/>
        <v>0</v>
      </c>
      <c r="AF144" s="515">
        <f t="shared" si="57"/>
        <v>0</v>
      </c>
      <c r="AG144" s="515">
        <f t="shared" si="57"/>
        <v>0</v>
      </c>
      <c r="AH144" s="515">
        <f t="shared" si="57"/>
        <v>0</v>
      </c>
      <c r="AI144" s="515">
        <f t="shared" si="57"/>
        <v>0</v>
      </c>
      <c r="AJ144" s="515">
        <f t="shared" si="57"/>
        <v>0</v>
      </c>
      <c r="AK144" s="515">
        <f t="shared" si="57"/>
        <v>0</v>
      </c>
      <c r="AL144" s="515">
        <f t="shared" si="57"/>
        <v>0</v>
      </c>
      <c r="AM144" s="515">
        <f t="shared" si="57"/>
        <v>0</v>
      </c>
      <c r="AN144" s="515">
        <f t="shared" si="57"/>
        <v>0</v>
      </c>
      <c r="AO144" s="515">
        <f t="shared" si="57"/>
        <v>0</v>
      </c>
      <c r="AP144" s="515">
        <f t="shared" si="57"/>
        <v>0</v>
      </c>
      <c r="AQ144" s="515">
        <f t="shared" si="57"/>
        <v>0</v>
      </c>
      <c r="AR144" s="515">
        <f t="shared" si="57"/>
        <v>0</v>
      </c>
      <c r="AS144" s="515">
        <f t="shared" si="57"/>
        <v>0</v>
      </c>
      <c r="AT144" s="515">
        <f t="shared" si="57"/>
        <v>0</v>
      </c>
      <c r="AU144" s="515">
        <f t="shared" si="57"/>
        <v>0</v>
      </c>
      <c r="AV144" s="515">
        <f t="shared" si="57"/>
        <v>0</v>
      </c>
      <c r="AW144" s="515">
        <f t="shared" si="57"/>
        <v>0</v>
      </c>
      <c r="AX144" s="515">
        <f t="shared" si="57"/>
        <v>0</v>
      </c>
      <c r="AY144" s="515">
        <f t="shared" si="57"/>
        <v>0</v>
      </c>
      <c r="AZ144" s="515">
        <f t="shared" si="57"/>
        <v>0</v>
      </c>
      <c r="BA144" s="515">
        <f t="shared" si="57"/>
        <v>0</v>
      </c>
      <c r="BB144" s="515">
        <f t="shared" si="57"/>
        <v>0</v>
      </c>
      <c r="BC144" s="515">
        <f t="shared" si="57"/>
        <v>0</v>
      </c>
      <c r="BD144" s="515">
        <f t="shared" si="57"/>
        <v>0</v>
      </c>
      <c r="BE144" s="515">
        <f t="shared" si="57"/>
        <v>0</v>
      </c>
      <c r="BF144" s="515">
        <f t="shared" si="57"/>
        <v>0</v>
      </c>
      <c r="BG144" s="515">
        <f t="shared" si="57"/>
        <v>0</v>
      </c>
      <c r="BH144" s="515">
        <f t="shared" si="57"/>
        <v>0</v>
      </c>
      <c r="BI144" s="515">
        <f t="shared" si="57"/>
        <v>0</v>
      </c>
      <c r="BJ144" s="515">
        <f t="shared" si="57"/>
        <v>0</v>
      </c>
      <c r="BK144" s="515">
        <f t="shared" si="57"/>
        <v>0</v>
      </c>
      <c r="BL144" s="515">
        <f t="shared" si="57"/>
        <v>0</v>
      </c>
      <c r="BM144" s="515">
        <f t="shared" si="57"/>
        <v>0</v>
      </c>
      <c r="BN144" s="515">
        <f t="shared" si="57"/>
        <v>0</v>
      </c>
      <c r="BO144" s="515">
        <f t="shared" si="57"/>
        <v>0</v>
      </c>
      <c r="BP144" s="515">
        <f t="shared" si="57"/>
        <v>0</v>
      </c>
      <c r="BQ144" s="515">
        <f t="shared" si="57"/>
        <v>0</v>
      </c>
      <c r="BR144" s="515">
        <f t="shared" si="57"/>
        <v>0</v>
      </c>
      <c r="BS144" s="515">
        <f t="shared" si="57"/>
        <v>0</v>
      </c>
      <c r="BT144" s="515">
        <f t="shared" si="57"/>
        <v>0</v>
      </c>
      <c r="BU144" s="515">
        <f t="shared" si="57"/>
        <v>0</v>
      </c>
      <c r="BV144" s="515">
        <f t="shared" si="57"/>
        <v>0</v>
      </c>
      <c r="BW144" s="515">
        <f t="shared" si="57"/>
        <v>0</v>
      </c>
      <c r="BX144" s="515">
        <f t="shared" si="57"/>
        <v>0</v>
      </c>
      <c r="BY144" s="268"/>
      <c r="BZ144" s="268"/>
      <c r="CA144" s="268"/>
      <c r="CB144" s="268"/>
      <c r="CC144" s="268"/>
      <c r="CD144" s="268"/>
      <c r="CE144" s="268"/>
      <c r="CF144" s="268"/>
      <c r="CG144" s="268"/>
      <c r="CH144" s="268"/>
      <c r="CI144" s="268"/>
      <c r="CJ144" s="268"/>
      <c r="CK144" s="268"/>
      <c r="CL144" s="268"/>
      <c r="CM144" s="268"/>
      <c r="CN144" s="268"/>
      <c r="CO144" s="268"/>
      <c r="CP144" s="268"/>
      <c r="CQ144" s="268"/>
      <c r="CR144" s="268"/>
      <c r="CS144" s="268"/>
      <c r="CT144" s="268"/>
      <c r="CU144" s="268"/>
      <c r="CV144" s="268"/>
      <c r="CW144" s="268"/>
      <c r="CX144" s="268"/>
      <c r="CY144" s="268"/>
      <c r="CZ144" s="268"/>
      <c r="DA144" s="268"/>
      <c r="DB144" s="268"/>
      <c r="DC144" s="268"/>
      <c r="DD144" s="268"/>
      <c r="DE144" s="268"/>
      <c r="DF144" s="268"/>
      <c r="DG144" s="268"/>
      <c r="DH144" s="268"/>
      <c r="DI144" s="268"/>
      <c r="DJ144" s="268"/>
      <c r="DK144" s="268"/>
      <c r="DL144" s="268"/>
      <c r="DM144" s="268"/>
      <c r="DN144" s="268"/>
      <c r="DO144" s="268"/>
      <c r="DP144" s="268"/>
      <c r="DQ144" s="268"/>
      <c r="DR144" s="268"/>
      <c r="DS144" s="268"/>
      <c r="DT144" s="268"/>
      <c r="DU144" s="268"/>
      <c r="DV144" s="268"/>
      <c r="DW144" s="344"/>
      <c r="DX144" s="344"/>
      <c r="DY144" s="344"/>
      <c r="DZ144" s="344"/>
      <c r="EA144" s="344"/>
      <c r="EB144" s="344"/>
      <c r="EC144" s="344"/>
      <c r="ED144" s="344"/>
      <c r="EE144" s="344"/>
      <c r="EF144" s="344"/>
      <c r="EG144" s="344"/>
      <c r="EH144" s="344"/>
    </row>
    <row r="145" spans="1:138">
      <c r="A145" s="268"/>
      <c r="B145" s="342"/>
      <c r="C145" s="339" t="s">
        <v>334</v>
      </c>
      <c r="D145" s="520"/>
      <c r="E145" s="515"/>
      <c r="F145" s="515"/>
      <c r="G145" s="515"/>
      <c r="H145" s="515"/>
      <c r="I145" s="515"/>
      <c r="J145" s="515"/>
      <c r="K145" s="515"/>
      <c r="L145" s="515"/>
      <c r="M145" s="515"/>
      <c r="N145" s="515"/>
      <c r="O145" s="515"/>
      <c r="P145" s="515"/>
      <c r="Q145" s="515"/>
      <c r="R145" s="515"/>
      <c r="S145" s="515"/>
      <c r="T145" s="515"/>
      <c r="U145" s="515"/>
      <c r="V145" s="515"/>
      <c r="W145" s="515"/>
      <c r="X145" s="515"/>
      <c r="Y145" s="515"/>
      <c r="Z145" s="515"/>
      <c r="AA145" s="515"/>
      <c r="AB145" s="515"/>
      <c r="AC145" s="515" t="e">
        <f>AC99</f>
        <v>#REF!</v>
      </c>
      <c r="AD145" s="515"/>
      <c r="AE145" s="515"/>
      <c r="AF145" s="515"/>
      <c r="AG145" s="515"/>
      <c r="AH145" s="515"/>
      <c r="AI145" s="515"/>
      <c r="AJ145" s="515"/>
      <c r="AK145" s="515"/>
      <c r="AL145" s="515"/>
      <c r="AM145" s="515"/>
      <c r="AN145" s="515"/>
      <c r="AO145" s="515"/>
      <c r="AP145" s="515"/>
      <c r="AQ145" s="515"/>
      <c r="AR145" s="515"/>
      <c r="AS145" s="515"/>
      <c r="AT145" s="515"/>
      <c r="AU145" s="515"/>
      <c r="AV145" s="515"/>
      <c r="AW145" s="515"/>
      <c r="AX145" s="515"/>
      <c r="AY145" s="515"/>
      <c r="AZ145" s="515"/>
      <c r="BA145" s="515"/>
      <c r="BB145" s="515"/>
      <c r="BC145" s="515"/>
      <c r="BD145" s="515"/>
      <c r="BE145" s="515"/>
      <c r="BF145" s="515"/>
      <c r="BG145" s="515"/>
      <c r="BH145" s="515"/>
      <c r="BI145" s="515"/>
      <c r="BJ145" s="515"/>
      <c r="BK145" s="515"/>
      <c r="BL145" s="515"/>
      <c r="BM145" s="515"/>
      <c r="BN145" s="515"/>
      <c r="BO145" s="515"/>
      <c r="BP145" s="515"/>
      <c r="BQ145" s="515"/>
      <c r="BR145" s="515"/>
      <c r="BS145" s="515"/>
      <c r="BT145" s="515"/>
      <c r="BU145" s="515"/>
      <c r="BV145" s="515"/>
      <c r="BW145" s="515"/>
      <c r="BX145" s="515" t="e">
        <f>IF(D104&gt;0.25,(BX99-BX107)*D146,BX99*D146)</f>
        <v>#VALUE!</v>
      </c>
      <c r="BY145" s="268"/>
      <c r="BZ145" s="268"/>
      <c r="CA145" s="268"/>
      <c r="CB145" s="268"/>
      <c r="CC145" s="268"/>
      <c r="CD145" s="268"/>
      <c r="CE145" s="268"/>
      <c r="CF145" s="268"/>
      <c r="CG145" s="268"/>
      <c r="CH145" s="268"/>
      <c r="CI145" s="268"/>
      <c r="CJ145" s="268"/>
      <c r="CK145" s="268"/>
      <c r="CL145" s="268"/>
      <c r="CM145" s="268"/>
      <c r="CN145" s="268"/>
      <c r="CO145" s="268"/>
      <c r="CP145" s="268"/>
      <c r="CQ145" s="268"/>
      <c r="CR145" s="268"/>
      <c r="CS145" s="268"/>
      <c r="CT145" s="268"/>
      <c r="CU145" s="268"/>
      <c r="CV145" s="268"/>
      <c r="CW145" s="268"/>
      <c r="CX145" s="268"/>
      <c r="CY145" s="268"/>
      <c r="CZ145" s="268"/>
      <c r="DA145" s="268"/>
      <c r="DB145" s="268"/>
      <c r="DC145" s="268"/>
      <c r="DD145" s="268"/>
      <c r="DE145" s="268"/>
      <c r="DF145" s="268"/>
      <c r="DG145" s="268"/>
      <c r="DH145" s="268"/>
      <c r="DI145" s="268"/>
      <c r="DJ145" s="268"/>
      <c r="DK145" s="268"/>
      <c r="DL145" s="268"/>
      <c r="DM145" s="268"/>
      <c r="DN145" s="268"/>
      <c r="DO145" s="268"/>
      <c r="DP145" s="268"/>
      <c r="DQ145" s="268"/>
      <c r="DR145" s="268"/>
      <c r="DS145" s="268"/>
      <c r="DT145" s="268"/>
      <c r="DU145" s="268"/>
      <c r="DV145" s="268"/>
      <c r="DW145" s="344"/>
      <c r="DX145" s="344"/>
      <c r="DY145" s="344"/>
      <c r="DZ145" s="344"/>
      <c r="EA145" s="344"/>
      <c r="EB145" s="344"/>
      <c r="EC145" s="344"/>
      <c r="ED145" s="344"/>
      <c r="EE145" s="344"/>
      <c r="EF145" s="344"/>
      <c r="EG145" s="344"/>
      <c r="EH145" s="344"/>
    </row>
    <row r="146" spans="1:138">
      <c r="A146" s="268"/>
      <c r="B146" s="342"/>
      <c r="C146" s="517" t="s">
        <v>335</v>
      </c>
      <c r="D146" s="520">
        <v>1</v>
      </c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  <c r="V146" s="287"/>
      <c r="W146" s="287"/>
      <c r="X146" s="287"/>
      <c r="Y146" s="287"/>
      <c r="Z146" s="287"/>
      <c r="AA146" s="287"/>
      <c r="AB146" s="287"/>
      <c r="AC146" s="287"/>
      <c r="AD146" s="287"/>
      <c r="AE146" s="287"/>
      <c r="AF146" s="287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287"/>
      <c r="AS146" s="287"/>
      <c r="AT146" s="287"/>
      <c r="AU146" s="287"/>
      <c r="AV146" s="287"/>
      <c r="AW146" s="287"/>
      <c r="AX146" s="287"/>
      <c r="AY146" s="287"/>
      <c r="AZ146" s="287"/>
      <c r="BA146" s="287"/>
      <c r="BB146" s="287"/>
      <c r="BC146" s="287"/>
      <c r="BD146" s="287"/>
      <c r="BE146" s="287"/>
      <c r="BF146" s="287"/>
      <c r="BG146" s="287"/>
      <c r="BH146" s="287"/>
      <c r="BI146" s="287"/>
      <c r="BJ146" s="287"/>
      <c r="BK146" s="287"/>
      <c r="BL146" s="287"/>
      <c r="BM146" s="287"/>
      <c r="BN146" s="287"/>
      <c r="BO146" s="287"/>
      <c r="BP146" s="287"/>
      <c r="BQ146" s="287"/>
      <c r="BR146" s="287"/>
      <c r="BS146" s="287"/>
      <c r="BT146" s="287"/>
      <c r="BU146" s="287"/>
      <c r="BV146" s="287"/>
      <c r="BW146" s="287"/>
      <c r="BX146" s="287"/>
      <c r="BY146" s="268"/>
      <c r="BZ146" s="268"/>
      <c r="CA146" s="268"/>
      <c r="CB146" s="268"/>
      <c r="CC146" s="268"/>
      <c r="CD146" s="268"/>
      <c r="CE146" s="268"/>
      <c r="CF146" s="268"/>
      <c r="CG146" s="268"/>
      <c r="CH146" s="268"/>
      <c r="CI146" s="268"/>
      <c r="CJ146" s="268"/>
      <c r="CK146" s="268"/>
      <c r="CL146" s="268"/>
      <c r="CM146" s="268"/>
      <c r="CN146" s="268"/>
      <c r="CO146" s="268"/>
      <c r="CP146" s="268"/>
      <c r="CQ146" s="268"/>
      <c r="CR146" s="268"/>
      <c r="CS146" s="268"/>
      <c r="CT146" s="268"/>
      <c r="CU146" s="268"/>
      <c r="CV146" s="268"/>
      <c r="CW146" s="268"/>
      <c r="CX146" s="268"/>
      <c r="CY146" s="268"/>
      <c r="CZ146" s="268"/>
      <c r="DA146" s="268"/>
      <c r="DB146" s="268"/>
      <c r="DC146" s="268"/>
      <c r="DD146" s="268"/>
      <c r="DE146" s="268"/>
      <c r="DF146" s="268"/>
      <c r="DG146" s="268"/>
      <c r="DH146" s="268"/>
      <c r="DI146" s="268"/>
      <c r="DJ146" s="268"/>
      <c r="DK146" s="268"/>
      <c r="DL146" s="268"/>
      <c r="DM146" s="268"/>
      <c r="DN146" s="268"/>
      <c r="DO146" s="268"/>
      <c r="DP146" s="268"/>
      <c r="DQ146" s="268"/>
      <c r="DR146" s="268"/>
      <c r="DS146" s="268"/>
      <c r="DT146" s="268"/>
      <c r="DU146" s="268"/>
      <c r="DV146" s="268"/>
      <c r="DW146" s="344"/>
      <c r="DX146" s="344"/>
      <c r="DY146" s="344"/>
      <c r="DZ146" s="344"/>
      <c r="EA146" s="344"/>
      <c r="EB146" s="344"/>
      <c r="EC146" s="344"/>
      <c r="ED146" s="344"/>
      <c r="EE146" s="344"/>
      <c r="EF146" s="344"/>
      <c r="EG146" s="344"/>
      <c r="EH146" s="344"/>
    </row>
    <row r="147" spans="1:138">
      <c r="A147" s="268"/>
      <c r="B147" s="342"/>
      <c r="C147" s="339" t="s">
        <v>336</v>
      </c>
      <c r="D147" s="515"/>
      <c r="E147" s="521">
        <f t="shared" ref="E147:BX147" si="58">E142+E143+E144+E145+E146</f>
        <v>0</v>
      </c>
      <c r="F147" s="521">
        <f t="shared" si="58"/>
        <v>0</v>
      </c>
      <c r="G147" s="521">
        <f t="shared" si="58"/>
        <v>0</v>
      </c>
      <c r="H147" s="521">
        <f t="shared" si="58"/>
        <v>0</v>
      </c>
      <c r="I147" s="521">
        <f t="shared" si="58"/>
        <v>0</v>
      </c>
      <c r="J147" s="521">
        <f t="shared" si="58"/>
        <v>0</v>
      </c>
      <c r="K147" s="521">
        <f t="shared" si="58"/>
        <v>0</v>
      </c>
      <c r="L147" s="521">
        <f t="shared" si="58"/>
        <v>0</v>
      </c>
      <c r="M147" s="521">
        <f t="shared" si="58"/>
        <v>0</v>
      </c>
      <c r="N147" s="521">
        <f t="shared" si="58"/>
        <v>0</v>
      </c>
      <c r="O147" s="521">
        <f t="shared" si="58"/>
        <v>0</v>
      </c>
      <c r="P147" s="521">
        <f t="shared" si="58"/>
        <v>0</v>
      </c>
      <c r="Q147" s="521">
        <f t="shared" si="58"/>
        <v>0</v>
      </c>
      <c r="R147" s="521">
        <f t="shared" si="58"/>
        <v>0</v>
      </c>
      <c r="S147" s="521">
        <f t="shared" si="58"/>
        <v>-1200000</v>
      </c>
      <c r="T147" s="521">
        <f t="shared" si="58"/>
        <v>-15000000</v>
      </c>
      <c r="U147" s="521">
        <f t="shared" si="58"/>
        <v>-3700000</v>
      </c>
      <c r="V147" s="521">
        <f t="shared" si="58"/>
        <v>0</v>
      </c>
      <c r="W147" s="521">
        <f t="shared" si="58"/>
        <v>0</v>
      </c>
      <c r="X147" s="521">
        <f t="shared" si="58"/>
        <v>0</v>
      </c>
      <c r="Y147" s="521">
        <f t="shared" si="58"/>
        <v>0</v>
      </c>
      <c r="Z147" s="521">
        <f t="shared" si="58"/>
        <v>0</v>
      </c>
      <c r="AA147" s="521">
        <f t="shared" si="58"/>
        <v>0</v>
      </c>
      <c r="AB147" s="521">
        <f t="shared" si="58"/>
        <v>0</v>
      </c>
      <c r="AC147" s="521" t="e">
        <f t="shared" si="58"/>
        <v>#REF!</v>
      </c>
      <c r="AD147" s="521">
        <f t="shared" si="58"/>
        <v>0</v>
      </c>
      <c r="AE147" s="521">
        <f t="shared" si="58"/>
        <v>0</v>
      </c>
      <c r="AF147" s="521">
        <f t="shared" si="58"/>
        <v>0</v>
      </c>
      <c r="AG147" s="521">
        <f t="shared" si="58"/>
        <v>0</v>
      </c>
      <c r="AH147" s="521">
        <f t="shared" si="58"/>
        <v>0</v>
      </c>
      <c r="AI147" s="521">
        <f t="shared" si="58"/>
        <v>0</v>
      </c>
      <c r="AJ147" s="521">
        <f t="shared" si="58"/>
        <v>0</v>
      </c>
      <c r="AK147" s="521">
        <f t="shared" si="58"/>
        <v>0</v>
      </c>
      <c r="AL147" s="521">
        <f t="shared" si="58"/>
        <v>0</v>
      </c>
      <c r="AM147" s="521">
        <f t="shared" si="58"/>
        <v>0</v>
      </c>
      <c r="AN147" s="521">
        <f t="shared" si="58"/>
        <v>0</v>
      </c>
      <c r="AO147" s="521">
        <f t="shared" si="58"/>
        <v>0</v>
      </c>
      <c r="AP147" s="521">
        <f t="shared" si="58"/>
        <v>0</v>
      </c>
      <c r="AQ147" s="521">
        <f t="shared" si="58"/>
        <v>0</v>
      </c>
      <c r="AR147" s="521">
        <f t="shared" si="58"/>
        <v>0</v>
      </c>
      <c r="AS147" s="521">
        <f t="shared" si="58"/>
        <v>0</v>
      </c>
      <c r="AT147" s="521">
        <f t="shared" si="58"/>
        <v>0</v>
      </c>
      <c r="AU147" s="521">
        <f t="shared" si="58"/>
        <v>0</v>
      </c>
      <c r="AV147" s="521">
        <f t="shared" si="58"/>
        <v>0</v>
      </c>
      <c r="AW147" s="521">
        <f t="shared" si="58"/>
        <v>0</v>
      </c>
      <c r="AX147" s="521">
        <f t="shared" si="58"/>
        <v>0</v>
      </c>
      <c r="AY147" s="521">
        <f t="shared" si="58"/>
        <v>0</v>
      </c>
      <c r="AZ147" s="521">
        <f t="shared" si="58"/>
        <v>0</v>
      </c>
      <c r="BA147" s="521">
        <f t="shared" si="58"/>
        <v>0</v>
      </c>
      <c r="BB147" s="521">
        <f t="shared" si="58"/>
        <v>0</v>
      </c>
      <c r="BC147" s="521">
        <f t="shared" si="58"/>
        <v>0</v>
      </c>
      <c r="BD147" s="521">
        <f t="shared" si="58"/>
        <v>0</v>
      </c>
      <c r="BE147" s="521">
        <f t="shared" si="58"/>
        <v>0</v>
      </c>
      <c r="BF147" s="521">
        <f t="shared" si="58"/>
        <v>0</v>
      </c>
      <c r="BG147" s="521">
        <f t="shared" si="58"/>
        <v>0</v>
      </c>
      <c r="BH147" s="521">
        <f t="shared" si="58"/>
        <v>0</v>
      </c>
      <c r="BI147" s="521">
        <f t="shared" si="58"/>
        <v>0</v>
      </c>
      <c r="BJ147" s="521">
        <f t="shared" si="58"/>
        <v>0</v>
      </c>
      <c r="BK147" s="521">
        <f t="shared" si="58"/>
        <v>0</v>
      </c>
      <c r="BL147" s="521">
        <f t="shared" si="58"/>
        <v>0</v>
      </c>
      <c r="BM147" s="521">
        <f t="shared" si="58"/>
        <v>0</v>
      </c>
      <c r="BN147" s="521">
        <f t="shared" si="58"/>
        <v>0</v>
      </c>
      <c r="BO147" s="521">
        <f t="shared" si="58"/>
        <v>0</v>
      </c>
      <c r="BP147" s="521">
        <f t="shared" si="58"/>
        <v>0</v>
      </c>
      <c r="BQ147" s="521">
        <f t="shared" si="58"/>
        <v>0</v>
      </c>
      <c r="BR147" s="521">
        <f t="shared" si="58"/>
        <v>0</v>
      </c>
      <c r="BS147" s="521">
        <f t="shared" si="58"/>
        <v>0</v>
      </c>
      <c r="BT147" s="521">
        <f t="shared" si="58"/>
        <v>0</v>
      </c>
      <c r="BU147" s="521">
        <f t="shared" si="58"/>
        <v>0</v>
      </c>
      <c r="BV147" s="521">
        <f t="shared" si="58"/>
        <v>0</v>
      </c>
      <c r="BW147" s="521">
        <f t="shared" si="58"/>
        <v>0</v>
      </c>
      <c r="BX147" s="521" t="e">
        <f t="shared" si="58"/>
        <v>#VALUE!</v>
      </c>
      <c r="BY147" s="268"/>
      <c r="BZ147" s="268"/>
      <c r="CA147" s="268"/>
      <c r="CB147" s="268"/>
      <c r="CC147" s="268"/>
      <c r="CD147" s="268"/>
      <c r="CE147" s="268"/>
      <c r="CF147" s="268"/>
      <c r="CG147" s="268"/>
      <c r="CH147" s="268"/>
      <c r="CI147" s="268"/>
      <c r="CJ147" s="268"/>
      <c r="CK147" s="268"/>
      <c r="CL147" s="268"/>
      <c r="CM147" s="268"/>
      <c r="CN147" s="268"/>
      <c r="CO147" s="268"/>
      <c r="CP147" s="268"/>
      <c r="CQ147" s="268"/>
      <c r="CR147" s="268"/>
      <c r="CS147" s="268"/>
      <c r="CT147" s="268"/>
      <c r="CU147" s="268"/>
      <c r="CV147" s="268"/>
      <c r="CW147" s="268"/>
      <c r="CX147" s="268"/>
      <c r="CY147" s="268"/>
      <c r="CZ147" s="268"/>
      <c r="DA147" s="268"/>
      <c r="DB147" s="268"/>
      <c r="DC147" s="268"/>
      <c r="DD147" s="268"/>
      <c r="DE147" s="268"/>
      <c r="DF147" s="268"/>
      <c r="DG147" s="268"/>
      <c r="DH147" s="268"/>
      <c r="DI147" s="268"/>
      <c r="DJ147" s="268"/>
      <c r="DK147" s="268"/>
      <c r="DL147" s="268"/>
      <c r="DM147" s="268"/>
      <c r="DN147" s="268"/>
      <c r="DO147" s="268"/>
      <c r="DP147" s="268"/>
      <c r="DQ147" s="268"/>
      <c r="DR147" s="268"/>
      <c r="DS147" s="268"/>
      <c r="DT147" s="268"/>
      <c r="DU147" s="268"/>
      <c r="DV147" s="268"/>
      <c r="DW147" s="344"/>
      <c r="DX147" s="344"/>
      <c r="DY147" s="344"/>
      <c r="DZ147" s="344"/>
      <c r="EA147" s="344"/>
      <c r="EB147" s="344"/>
      <c r="EC147" s="344"/>
      <c r="ED147" s="344"/>
      <c r="EE147" s="344"/>
      <c r="EF147" s="344"/>
      <c r="EG147" s="344"/>
      <c r="EH147" s="344"/>
    </row>
    <row r="148" spans="1:138">
      <c r="A148" s="268"/>
      <c r="B148" s="342"/>
      <c r="C148" s="340"/>
      <c r="D148" s="522" t="s">
        <v>343</v>
      </c>
      <c r="E148" s="526">
        <f>E147</f>
        <v>0</v>
      </c>
      <c r="F148" s="526">
        <f t="shared" ref="F148:BX148" si="59">E148+F147</f>
        <v>0</v>
      </c>
      <c r="G148" s="526">
        <f t="shared" si="59"/>
        <v>0</v>
      </c>
      <c r="H148" s="526">
        <f t="shared" si="59"/>
        <v>0</v>
      </c>
      <c r="I148" s="526">
        <f t="shared" si="59"/>
        <v>0</v>
      </c>
      <c r="J148" s="526">
        <f t="shared" si="59"/>
        <v>0</v>
      </c>
      <c r="K148" s="526">
        <f t="shared" si="59"/>
        <v>0</v>
      </c>
      <c r="L148" s="526">
        <f t="shared" si="59"/>
        <v>0</v>
      </c>
      <c r="M148" s="526">
        <f t="shared" si="59"/>
        <v>0</v>
      </c>
      <c r="N148" s="526">
        <f t="shared" si="59"/>
        <v>0</v>
      </c>
      <c r="O148" s="526">
        <f t="shared" si="59"/>
        <v>0</v>
      </c>
      <c r="P148" s="526">
        <f t="shared" si="59"/>
        <v>0</v>
      </c>
      <c r="Q148" s="526">
        <f t="shared" si="59"/>
        <v>0</v>
      </c>
      <c r="R148" s="526">
        <f t="shared" si="59"/>
        <v>0</v>
      </c>
      <c r="S148" s="526">
        <f t="shared" si="59"/>
        <v>-1200000</v>
      </c>
      <c r="T148" s="526">
        <f t="shared" si="59"/>
        <v>-16200000</v>
      </c>
      <c r="U148" s="526">
        <f t="shared" si="59"/>
        <v>-19900000</v>
      </c>
      <c r="V148" s="526">
        <f t="shared" si="59"/>
        <v>-19900000</v>
      </c>
      <c r="W148" s="526">
        <f t="shared" si="59"/>
        <v>-19900000</v>
      </c>
      <c r="X148" s="526">
        <f t="shared" si="59"/>
        <v>-19900000</v>
      </c>
      <c r="Y148" s="526">
        <f t="shared" si="59"/>
        <v>-19900000</v>
      </c>
      <c r="Z148" s="526">
        <f t="shared" si="59"/>
        <v>-19900000</v>
      </c>
      <c r="AA148" s="526">
        <f t="shared" si="59"/>
        <v>-19900000</v>
      </c>
      <c r="AB148" s="526">
        <f t="shared" si="59"/>
        <v>-19900000</v>
      </c>
      <c r="AC148" s="526" t="e">
        <f t="shared" si="59"/>
        <v>#REF!</v>
      </c>
      <c r="AD148" s="526" t="e">
        <f t="shared" si="59"/>
        <v>#REF!</v>
      </c>
      <c r="AE148" s="526" t="e">
        <f t="shared" si="59"/>
        <v>#REF!</v>
      </c>
      <c r="AF148" s="526" t="e">
        <f t="shared" si="59"/>
        <v>#REF!</v>
      </c>
      <c r="AG148" s="526" t="e">
        <f t="shared" si="59"/>
        <v>#REF!</v>
      </c>
      <c r="AH148" s="526" t="e">
        <f t="shared" si="59"/>
        <v>#REF!</v>
      </c>
      <c r="AI148" s="526" t="e">
        <f t="shared" si="59"/>
        <v>#REF!</v>
      </c>
      <c r="AJ148" s="526" t="e">
        <f t="shared" si="59"/>
        <v>#REF!</v>
      </c>
      <c r="AK148" s="526" t="e">
        <f t="shared" si="59"/>
        <v>#REF!</v>
      </c>
      <c r="AL148" s="526" t="e">
        <f t="shared" si="59"/>
        <v>#REF!</v>
      </c>
      <c r="AM148" s="526" t="e">
        <f t="shared" si="59"/>
        <v>#REF!</v>
      </c>
      <c r="AN148" s="526" t="e">
        <f t="shared" si="59"/>
        <v>#REF!</v>
      </c>
      <c r="AO148" s="526" t="e">
        <f t="shared" si="59"/>
        <v>#REF!</v>
      </c>
      <c r="AP148" s="526" t="e">
        <f t="shared" si="59"/>
        <v>#REF!</v>
      </c>
      <c r="AQ148" s="526" t="e">
        <f t="shared" si="59"/>
        <v>#REF!</v>
      </c>
      <c r="AR148" s="526" t="e">
        <f t="shared" si="59"/>
        <v>#REF!</v>
      </c>
      <c r="AS148" s="526" t="e">
        <f t="shared" si="59"/>
        <v>#REF!</v>
      </c>
      <c r="AT148" s="526" t="e">
        <f t="shared" si="59"/>
        <v>#REF!</v>
      </c>
      <c r="AU148" s="526" t="e">
        <f t="shared" si="59"/>
        <v>#REF!</v>
      </c>
      <c r="AV148" s="526" t="e">
        <f t="shared" si="59"/>
        <v>#REF!</v>
      </c>
      <c r="AW148" s="526" t="e">
        <f t="shared" si="59"/>
        <v>#REF!</v>
      </c>
      <c r="AX148" s="526" t="e">
        <f t="shared" si="59"/>
        <v>#REF!</v>
      </c>
      <c r="AY148" s="526" t="e">
        <f t="shared" si="59"/>
        <v>#REF!</v>
      </c>
      <c r="AZ148" s="526" t="e">
        <f t="shared" si="59"/>
        <v>#REF!</v>
      </c>
      <c r="BA148" s="526" t="e">
        <f t="shared" si="59"/>
        <v>#REF!</v>
      </c>
      <c r="BB148" s="526" t="e">
        <f t="shared" si="59"/>
        <v>#REF!</v>
      </c>
      <c r="BC148" s="526" t="e">
        <f t="shared" si="59"/>
        <v>#REF!</v>
      </c>
      <c r="BD148" s="526" t="e">
        <f t="shared" si="59"/>
        <v>#REF!</v>
      </c>
      <c r="BE148" s="526" t="e">
        <f t="shared" si="59"/>
        <v>#REF!</v>
      </c>
      <c r="BF148" s="526" t="e">
        <f t="shared" si="59"/>
        <v>#REF!</v>
      </c>
      <c r="BG148" s="526" t="e">
        <f t="shared" si="59"/>
        <v>#REF!</v>
      </c>
      <c r="BH148" s="526" t="e">
        <f t="shared" si="59"/>
        <v>#REF!</v>
      </c>
      <c r="BI148" s="526" t="e">
        <f t="shared" si="59"/>
        <v>#REF!</v>
      </c>
      <c r="BJ148" s="526" t="e">
        <f t="shared" si="59"/>
        <v>#REF!</v>
      </c>
      <c r="BK148" s="526" t="e">
        <f t="shared" si="59"/>
        <v>#REF!</v>
      </c>
      <c r="BL148" s="526" t="e">
        <f t="shared" si="59"/>
        <v>#REF!</v>
      </c>
      <c r="BM148" s="526" t="e">
        <f t="shared" si="59"/>
        <v>#REF!</v>
      </c>
      <c r="BN148" s="526" t="e">
        <f t="shared" si="59"/>
        <v>#REF!</v>
      </c>
      <c r="BO148" s="526" t="e">
        <f t="shared" si="59"/>
        <v>#REF!</v>
      </c>
      <c r="BP148" s="526" t="e">
        <f t="shared" si="59"/>
        <v>#REF!</v>
      </c>
      <c r="BQ148" s="526" t="e">
        <f t="shared" si="59"/>
        <v>#REF!</v>
      </c>
      <c r="BR148" s="526" t="e">
        <f t="shared" si="59"/>
        <v>#REF!</v>
      </c>
      <c r="BS148" s="526" t="e">
        <f t="shared" si="59"/>
        <v>#REF!</v>
      </c>
      <c r="BT148" s="526" t="e">
        <f t="shared" si="59"/>
        <v>#REF!</v>
      </c>
      <c r="BU148" s="526" t="e">
        <f t="shared" si="59"/>
        <v>#REF!</v>
      </c>
      <c r="BV148" s="526" t="e">
        <f t="shared" si="59"/>
        <v>#REF!</v>
      </c>
      <c r="BW148" s="526" t="e">
        <f t="shared" si="59"/>
        <v>#REF!</v>
      </c>
      <c r="BX148" s="526" t="e">
        <f t="shared" si="59"/>
        <v>#REF!</v>
      </c>
      <c r="BY148" s="268"/>
      <c r="BZ148" s="268"/>
      <c r="CA148" s="268"/>
      <c r="CB148" s="268"/>
      <c r="CC148" s="268"/>
      <c r="CD148" s="268"/>
      <c r="CE148" s="268"/>
      <c r="CF148" s="268"/>
      <c r="CG148" s="268"/>
      <c r="CH148" s="268"/>
      <c r="CI148" s="268"/>
      <c r="CJ148" s="268"/>
      <c r="CK148" s="268"/>
      <c r="CL148" s="268"/>
      <c r="CM148" s="268"/>
      <c r="CN148" s="268"/>
      <c r="CO148" s="268"/>
      <c r="CP148" s="268"/>
      <c r="CQ148" s="268"/>
      <c r="CR148" s="268"/>
      <c r="CS148" s="268"/>
      <c r="CT148" s="268"/>
      <c r="CU148" s="268"/>
      <c r="CV148" s="268"/>
      <c r="CW148" s="268"/>
      <c r="CX148" s="268"/>
      <c r="CY148" s="268"/>
      <c r="CZ148" s="268"/>
      <c r="DA148" s="268"/>
      <c r="DB148" s="268"/>
      <c r="DC148" s="268"/>
      <c r="DD148" s="268"/>
      <c r="DE148" s="268"/>
      <c r="DF148" s="268"/>
      <c r="DG148" s="268"/>
      <c r="DH148" s="268"/>
      <c r="DI148" s="268"/>
      <c r="DJ148" s="268"/>
      <c r="DK148" s="268"/>
      <c r="DL148" s="268"/>
      <c r="DM148" s="268"/>
      <c r="DN148" s="268"/>
      <c r="DO148" s="268"/>
      <c r="DP148" s="268"/>
      <c r="DQ148" s="268"/>
      <c r="DR148" s="268"/>
      <c r="DS148" s="268"/>
      <c r="DT148" s="268"/>
      <c r="DU148" s="268"/>
      <c r="DV148" s="268"/>
      <c r="DW148" s="344"/>
      <c r="DX148" s="344"/>
      <c r="DY148" s="344"/>
      <c r="DZ148" s="344"/>
      <c r="EA148" s="344"/>
      <c r="EB148" s="344"/>
      <c r="EC148" s="344"/>
      <c r="ED148" s="344"/>
      <c r="EE148" s="344"/>
      <c r="EF148" s="344"/>
      <c r="EG148" s="344"/>
      <c r="EH148" s="344"/>
    </row>
    <row r="149" spans="1:138">
      <c r="A149" s="268"/>
      <c r="B149" s="342"/>
      <c r="C149" s="517" t="s">
        <v>329</v>
      </c>
      <c r="D149" s="522" t="e">
        <f>IRR(P147:AC147)*12</f>
        <v>#VALUE!</v>
      </c>
      <c r="E149" s="268"/>
      <c r="F149" s="268"/>
      <c r="G149" s="268"/>
      <c r="H149" s="268"/>
      <c r="I149" s="268"/>
      <c r="J149" s="268"/>
      <c r="K149" s="268"/>
      <c r="L149" s="268"/>
      <c r="M149" s="268"/>
      <c r="N149" s="268"/>
      <c r="O149" s="268"/>
      <c r="P149" s="268"/>
      <c r="Q149" s="268"/>
      <c r="R149" s="268"/>
      <c r="S149" s="268"/>
      <c r="T149" s="268"/>
      <c r="U149" s="268"/>
      <c r="V149" s="268"/>
      <c r="W149" s="268"/>
      <c r="X149" s="268"/>
      <c r="Y149" s="268"/>
      <c r="Z149" s="268"/>
      <c r="AA149" s="268"/>
      <c r="AB149" s="268"/>
      <c r="AC149" s="268"/>
      <c r="AD149" s="268"/>
      <c r="AE149" s="268"/>
      <c r="AF149" s="268"/>
      <c r="AG149" s="268"/>
      <c r="AH149" s="268"/>
      <c r="AI149" s="268"/>
      <c r="AJ149" s="268"/>
      <c r="AK149" s="268"/>
      <c r="AL149" s="268"/>
      <c r="AM149" s="268"/>
      <c r="AN149" s="268"/>
      <c r="AO149" s="268"/>
      <c r="AP149" s="268"/>
      <c r="AQ149" s="268"/>
      <c r="AR149" s="268"/>
      <c r="AS149" s="268"/>
      <c r="AT149" s="268"/>
      <c r="AU149" s="268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8"/>
      <c r="BF149" s="268"/>
      <c r="BG149" s="268"/>
      <c r="BH149" s="268"/>
      <c r="BI149" s="268"/>
      <c r="BJ149" s="268"/>
      <c r="BK149" s="268"/>
      <c r="BL149" s="268"/>
      <c r="BM149" s="268"/>
      <c r="BN149" s="268"/>
      <c r="BO149" s="268"/>
      <c r="BP149" s="268"/>
      <c r="BQ149" s="268"/>
      <c r="BR149" s="268"/>
      <c r="BS149" s="268"/>
      <c r="BT149" s="268"/>
      <c r="BU149" s="268"/>
      <c r="BV149" s="268"/>
      <c r="BW149" s="268"/>
      <c r="BX149" s="268"/>
      <c r="BY149" s="268"/>
      <c r="BZ149" s="268"/>
      <c r="CA149" s="268"/>
      <c r="CB149" s="268"/>
      <c r="CC149" s="268"/>
      <c r="CD149" s="268"/>
      <c r="CE149" s="268"/>
      <c r="CF149" s="268"/>
      <c r="CG149" s="268"/>
      <c r="CH149" s="268"/>
      <c r="CI149" s="268"/>
      <c r="CJ149" s="268"/>
      <c r="CK149" s="268"/>
      <c r="CL149" s="268"/>
      <c r="CM149" s="268"/>
      <c r="CN149" s="268"/>
      <c r="CO149" s="268"/>
      <c r="CP149" s="268"/>
      <c r="CQ149" s="268"/>
      <c r="CR149" s="268"/>
      <c r="CS149" s="268"/>
      <c r="CT149" s="268"/>
      <c r="CU149" s="268"/>
      <c r="CV149" s="268"/>
      <c r="CW149" s="268"/>
      <c r="CX149" s="268"/>
      <c r="CY149" s="268"/>
      <c r="CZ149" s="268"/>
      <c r="DA149" s="268"/>
      <c r="DB149" s="268"/>
      <c r="DC149" s="268"/>
      <c r="DD149" s="268"/>
      <c r="DE149" s="268"/>
      <c r="DF149" s="268"/>
      <c r="DG149" s="268"/>
      <c r="DH149" s="268"/>
      <c r="DI149" s="268"/>
      <c r="DJ149" s="268"/>
      <c r="DK149" s="268"/>
      <c r="DL149" s="268"/>
      <c r="DM149" s="268"/>
      <c r="DN149" s="268"/>
      <c r="DO149" s="268"/>
      <c r="DP149" s="268"/>
      <c r="DQ149" s="268"/>
      <c r="DR149" s="268"/>
      <c r="DS149" s="268"/>
      <c r="DT149" s="268"/>
      <c r="DU149" s="268"/>
      <c r="DV149" s="268"/>
      <c r="DW149" s="344"/>
      <c r="DX149" s="344"/>
      <c r="DY149" s="344"/>
      <c r="DZ149" s="344"/>
      <c r="EA149" s="344"/>
      <c r="EB149" s="344"/>
      <c r="EC149" s="344"/>
      <c r="ED149" s="344"/>
      <c r="EE149" s="344"/>
      <c r="EF149" s="344"/>
      <c r="EG149" s="344"/>
      <c r="EH149" s="344"/>
    </row>
    <row r="150" spans="1:138">
      <c r="A150" s="268"/>
      <c r="B150" s="342"/>
      <c r="C150" s="523" t="s">
        <v>337</v>
      </c>
      <c r="D150" s="524" t="e">
        <f>-MIN(M148:BL148)-D151</f>
        <v>#REF!</v>
      </c>
      <c r="E150" s="268"/>
      <c r="F150" s="268"/>
      <c r="G150" s="268"/>
      <c r="H150" s="268"/>
      <c r="I150" s="268"/>
      <c r="J150" s="268"/>
      <c r="K150" s="268"/>
      <c r="L150" s="268"/>
      <c r="M150" s="268"/>
      <c r="N150" s="268"/>
      <c r="O150" s="268"/>
      <c r="P150" s="268"/>
      <c r="Q150" s="268"/>
      <c r="R150" s="268"/>
      <c r="S150" s="268"/>
      <c r="T150" s="268"/>
      <c r="U150" s="268"/>
      <c r="V150" s="268"/>
      <c r="W150" s="268"/>
      <c r="X150" s="268"/>
      <c r="Y150" s="268"/>
      <c r="Z150" s="268"/>
      <c r="AA150" s="268"/>
      <c r="AB150" s="268"/>
      <c r="AC150" s="268"/>
      <c r="AD150" s="268"/>
      <c r="AE150" s="268"/>
      <c r="AF150" s="268"/>
      <c r="AG150" s="268"/>
      <c r="AH150" s="268"/>
      <c r="AI150" s="268"/>
      <c r="AJ150" s="268"/>
      <c r="AK150" s="268"/>
      <c r="AL150" s="268"/>
      <c r="AM150" s="268"/>
      <c r="AN150" s="268"/>
      <c r="AO150" s="268"/>
      <c r="AP150" s="268"/>
      <c r="AQ150" s="268"/>
      <c r="AR150" s="268"/>
      <c r="AS150" s="268"/>
      <c r="AT150" s="268"/>
      <c r="AU150" s="268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8"/>
      <c r="BF150" s="268"/>
      <c r="BG150" s="268"/>
      <c r="BH150" s="268"/>
      <c r="BI150" s="268"/>
      <c r="BJ150" s="268"/>
      <c r="BK150" s="268"/>
      <c r="BL150" s="268"/>
      <c r="BM150" s="268"/>
      <c r="BN150" s="268"/>
      <c r="BO150" s="268"/>
      <c r="BP150" s="268"/>
      <c r="BQ150" s="268"/>
      <c r="BR150" s="268"/>
      <c r="BS150" s="268"/>
      <c r="BT150" s="268"/>
      <c r="BU150" s="268"/>
      <c r="BV150" s="268"/>
      <c r="BW150" s="268"/>
      <c r="BX150" s="268"/>
      <c r="BY150" s="268"/>
      <c r="BZ150" s="268"/>
      <c r="CA150" s="268"/>
      <c r="CB150" s="268"/>
      <c r="CC150" s="268"/>
      <c r="CD150" s="268"/>
      <c r="CE150" s="268"/>
      <c r="CF150" s="268"/>
      <c r="CG150" s="268"/>
      <c r="CH150" s="268"/>
      <c r="CI150" s="268"/>
      <c r="CJ150" s="268"/>
      <c r="CK150" s="268"/>
      <c r="CL150" s="268"/>
      <c r="CM150" s="268"/>
      <c r="CN150" s="268"/>
      <c r="CO150" s="268"/>
      <c r="CP150" s="268"/>
      <c r="CQ150" s="268"/>
      <c r="CR150" s="268"/>
      <c r="CS150" s="268"/>
      <c r="CT150" s="268"/>
      <c r="CU150" s="268"/>
      <c r="CV150" s="268"/>
      <c r="CW150" s="268"/>
      <c r="CX150" s="268"/>
      <c r="CY150" s="268"/>
      <c r="CZ150" s="268"/>
      <c r="DA150" s="268"/>
      <c r="DB150" s="268"/>
      <c r="DC150" s="268"/>
      <c r="DD150" s="268"/>
      <c r="DE150" s="268"/>
      <c r="DF150" s="268"/>
      <c r="DG150" s="268"/>
      <c r="DH150" s="268"/>
      <c r="DI150" s="268"/>
      <c r="DJ150" s="268"/>
      <c r="DK150" s="268"/>
      <c r="DL150" s="268"/>
      <c r="DM150" s="268"/>
      <c r="DN150" s="268"/>
      <c r="DO150" s="268"/>
      <c r="DP150" s="268"/>
      <c r="DQ150" s="268"/>
      <c r="DR150" s="268"/>
      <c r="DS150" s="268"/>
      <c r="DT150" s="268"/>
      <c r="DU150" s="268"/>
      <c r="DV150" s="268"/>
      <c r="DW150" s="344"/>
      <c r="DX150" s="344"/>
      <c r="DY150" s="344"/>
      <c r="DZ150" s="344"/>
      <c r="EA150" s="344"/>
      <c r="EB150" s="344"/>
      <c r="EC150" s="344"/>
      <c r="ED150" s="344"/>
      <c r="EE150" s="344"/>
      <c r="EF150" s="344"/>
      <c r="EG150" s="344"/>
      <c r="EH150" s="344"/>
    </row>
    <row r="151" spans="1:138">
      <c r="A151" s="268"/>
      <c r="B151" s="342"/>
      <c r="C151" s="523" t="s">
        <v>344</v>
      </c>
      <c r="D151" s="524">
        <f>-SUM(M146:BB146)</f>
        <v>0</v>
      </c>
      <c r="E151" s="268"/>
      <c r="F151" s="268"/>
      <c r="G151" s="268"/>
      <c r="H151" s="268"/>
      <c r="I151" s="268"/>
      <c r="J151" s="268"/>
      <c r="K151" s="268"/>
      <c r="L151" s="268"/>
      <c r="M151" s="268"/>
      <c r="N151" s="268"/>
      <c r="O151" s="268"/>
      <c r="P151" s="268"/>
      <c r="Q151" s="268"/>
      <c r="R151" s="268"/>
      <c r="S151" s="268"/>
      <c r="T151" s="268"/>
      <c r="U151" s="268"/>
      <c r="V151" s="268"/>
      <c r="W151" s="268"/>
      <c r="X151" s="268"/>
      <c r="Y151" s="268"/>
      <c r="Z151" s="268"/>
      <c r="AA151" s="268"/>
      <c r="AB151" s="268"/>
      <c r="AC151" s="268"/>
      <c r="AD151" s="268"/>
      <c r="AE151" s="268"/>
      <c r="AF151" s="268"/>
      <c r="AG151" s="268"/>
      <c r="AH151" s="268"/>
      <c r="AI151" s="268"/>
      <c r="AJ151" s="268"/>
      <c r="AK151" s="268"/>
      <c r="AL151" s="268"/>
      <c r="AM151" s="268"/>
      <c r="AN151" s="268"/>
      <c r="AO151" s="268"/>
      <c r="AP151" s="268"/>
      <c r="AQ151" s="268"/>
      <c r="AR151" s="268"/>
      <c r="AS151" s="268"/>
      <c r="AT151" s="268"/>
      <c r="AU151" s="268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8"/>
      <c r="BF151" s="268"/>
      <c r="BG151" s="268"/>
      <c r="BH151" s="268"/>
      <c r="BI151" s="268"/>
      <c r="BJ151" s="268"/>
      <c r="BK151" s="268"/>
      <c r="BL151" s="268"/>
      <c r="BM151" s="268"/>
      <c r="BN151" s="268"/>
      <c r="BO151" s="268"/>
      <c r="BP151" s="268"/>
      <c r="BQ151" s="268"/>
      <c r="BR151" s="268"/>
      <c r="BS151" s="268"/>
      <c r="BT151" s="268"/>
      <c r="BU151" s="268"/>
      <c r="BV151" s="268"/>
      <c r="BW151" s="268"/>
      <c r="BX151" s="268"/>
      <c r="BY151" s="268"/>
      <c r="BZ151" s="268"/>
      <c r="CA151" s="268"/>
      <c r="CB151" s="268"/>
      <c r="CC151" s="268"/>
      <c r="CD151" s="268"/>
      <c r="CE151" s="268"/>
      <c r="CF151" s="268"/>
      <c r="CG151" s="268"/>
      <c r="CH151" s="268"/>
      <c r="CI151" s="268"/>
      <c r="CJ151" s="268"/>
      <c r="CK151" s="268"/>
      <c r="CL151" s="268"/>
      <c r="CM151" s="268"/>
      <c r="CN151" s="268"/>
      <c r="CO151" s="268"/>
      <c r="CP151" s="268"/>
      <c r="CQ151" s="268"/>
      <c r="CR151" s="268"/>
      <c r="CS151" s="268"/>
      <c r="CT151" s="268"/>
      <c r="CU151" s="268"/>
      <c r="CV151" s="268"/>
      <c r="CW151" s="268"/>
      <c r="CX151" s="268"/>
      <c r="CY151" s="268"/>
      <c r="CZ151" s="268"/>
      <c r="DA151" s="268"/>
      <c r="DB151" s="268"/>
      <c r="DC151" s="268"/>
      <c r="DD151" s="268"/>
      <c r="DE151" s="268"/>
      <c r="DF151" s="268"/>
      <c r="DG151" s="268"/>
      <c r="DH151" s="268"/>
      <c r="DI151" s="268"/>
      <c r="DJ151" s="268"/>
      <c r="DK151" s="268"/>
      <c r="DL151" s="268"/>
      <c r="DM151" s="268"/>
      <c r="DN151" s="268"/>
      <c r="DO151" s="268"/>
      <c r="DP151" s="268"/>
      <c r="DQ151" s="268"/>
      <c r="DR151" s="268"/>
      <c r="DS151" s="268"/>
      <c r="DT151" s="268"/>
      <c r="DU151" s="268"/>
      <c r="DV151" s="268"/>
      <c r="DW151" s="344"/>
      <c r="DX151" s="344"/>
      <c r="DY151" s="344"/>
      <c r="DZ151" s="344"/>
      <c r="EA151" s="344"/>
      <c r="EB151" s="344"/>
      <c r="EC151" s="344"/>
      <c r="ED151" s="344"/>
      <c r="EE151" s="344"/>
      <c r="EF151" s="344"/>
      <c r="EG151" s="344"/>
      <c r="EH151" s="344"/>
    </row>
    <row r="152" spans="1:138">
      <c r="A152" s="268"/>
      <c r="B152" s="342"/>
      <c r="C152" s="517" t="s">
        <v>338</v>
      </c>
      <c r="D152" s="525" t="e">
        <f>D151+D150</f>
        <v>#REF!</v>
      </c>
      <c r="E152" s="268"/>
      <c r="F152" s="268"/>
      <c r="G152" s="268"/>
      <c r="H152" s="268"/>
      <c r="I152" s="268"/>
      <c r="J152" s="268"/>
      <c r="K152" s="268"/>
      <c r="L152" s="268"/>
      <c r="M152" s="268"/>
      <c r="N152" s="268"/>
      <c r="O152" s="268"/>
      <c r="P152" s="268"/>
      <c r="Q152" s="268"/>
      <c r="R152" s="268"/>
      <c r="S152" s="268"/>
      <c r="T152" s="268"/>
      <c r="U152" s="268"/>
      <c r="V152" s="268"/>
      <c r="W152" s="268"/>
      <c r="X152" s="268"/>
      <c r="Y152" s="268"/>
      <c r="Z152" s="268"/>
      <c r="AA152" s="268"/>
      <c r="AB152" s="268"/>
      <c r="AC152" s="285">
        <f>AC144/AC142</f>
        <v>9.0515075376884441E-2</v>
      </c>
      <c r="AD152" s="268"/>
      <c r="AE152" s="268"/>
      <c r="AF152" s="268"/>
      <c r="AG152" s="268"/>
      <c r="AH152" s="268"/>
      <c r="AI152" s="268"/>
      <c r="AJ152" s="268"/>
      <c r="AK152" s="268"/>
      <c r="AL152" s="268"/>
      <c r="AM152" s="268"/>
      <c r="AN152" s="268"/>
      <c r="AO152" s="268"/>
      <c r="AP152" s="268"/>
      <c r="AQ152" s="268"/>
      <c r="AR152" s="268"/>
      <c r="AS152" s="268"/>
      <c r="AT152" s="268"/>
      <c r="AU152" s="268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8"/>
      <c r="BF152" s="268"/>
      <c r="BG152" s="268"/>
      <c r="BH152" s="268"/>
      <c r="BI152" s="268"/>
      <c r="BJ152" s="268"/>
      <c r="BK152" s="268"/>
      <c r="BL152" s="268"/>
      <c r="BM152" s="268"/>
      <c r="BN152" s="268"/>
      <c r="BO152" s="268"/>
      <c r="BP152" s="268"/>
      <c r="BQ152" s="268"/>
      <c r="BR152" s="268"/>
      <c r="BS152" s="268"/>
      <c r="BT152" s="268"/>
      <c r="BU152" s="268"/>
      <c r="BV152" s="268"/>
      <c r="BW152" s="268"/>
      <c r="BX152" s="268"/>
      <c r="BY152" s="268"/>
      <c r="BZ152" s="268"/>
      <c r="CA152" s="268"/>
      <c r="CB152" s="268"/>
      <c r="CC152" s="268"/>
      <c r="CD152" s="268"/>
      <c r="CE152" s="268"/>
      <c r="CF152" s="268"/>
      <c r="CG152" s="268"/>
      <c r="CH152" s="268"/>
      <c r="CI152" s="268"/>
      <c r="CJ152" s="268"/>
      <c r="CK152" s="268"/>
      <c r="CL152" s="268"/>
      <c r="CM152" s="268"/>
      <c r="CN152" s="268"/>
      <c r="CO152" s="268"/>
      <c r="CP152" s="268"/>
      <c r="CQ152" s="268"/>
      <c r="CR152" s="268"/>
      <c r="CS152" s="268"/>
      <c r="CT152" s="268"/>
      <c r="CU152" s="268"/>
      <c r="CV152" s="268"/>
      <c r="CW152" s="268"/>
      <c r="CX152" s="268"/>
      <c r="CY152" s="268"/>
      <c r="CZ152" s="268"/>
      <c r="DA152" s="268"/>
      <c r="DB152" s="268"/>
      <c r="DC152" s="268"/>
      <c r="DD152" s="268"/>
      <c r="DE152" s="268"/>
      <c r="DF152" s="268"/>
      <c r="DG152" s="268"/>
      <c r="DH152" s="268"/>
      <c r="DI152" s="268"/>
      <c r="DJ152" s="268"/>
      <c r="DK152" s="268"/>
      <c r="DL152" s="268"/>
      <c r="DM152" s="268"/>
      <c r="DN152" s="268"/>
      <c r="DO152" s="268"/>
      <c r="DP152" s="268"/>
      <c r="DQ152" s="268"/>
      <c r="DR152" s="268"/>
      <c r="DS152" s="268"/>
      <c r="DT152" s="268"/>
      <c r="DU152" s="268"/>
      <c r="DV152" s="268"/>
      <c r="DW152" s="344"/>
      <c r="DX152" s="344"/>
      <c r="DY152" s="344"/>
      <c r="DZ152" s="344"/>
      <c r="EA152" s="344"/>
      <c r="EB152" s="344"/>
      <c r="EC152" s="344"/>
      <c r="ED152" s="344"/>
      <c r="EE152" s="344"/>
      <c r="EF152" s="344"/>
      <c r="EG152" s="344"/>
      <c r="EH152" s="344"/>
    </row>
    <row r="153" spans="1:138">
      <c r="A153" s="268"/>
      <c r="B153" s="342"/>
      <c r="C153" s="517" t="s">
        <v>339</v>
      </c>
      <c r="D153" s="525" t="e">
        <f>AC145+AC144</f>
        <v>#REF!</v>
      </c>
      <c r="E153" s="268"/>
      <c r="F153" s="268"/>
      <c r="G153" s="268"/>
      <c r="H153" s="268"/>
      <c r="I153" s="268"/>
      <c r="J153" s="268"/>
      <c r="K153" s="268"/>
      <c r="L153" s="268"/>
      <c r="M153" s="268"/>
      <c r="N153" s="268"/>
      <c r="O153" s="268"/>
      <c r="P153" s="268"/>
      <c r="Q153" s="268"/>
      <c r="R153" s="268"/>
      <c r="S153" s="268"/>
      <c r="T153" s="268"/>
      <c r="U153" s="268"/>
      <c r="V153" s="268"/>
      <c r="W153" s="268"/>
      <c r="X153" s="268"/>
      <c r="Y153" s="268"/>
      <c r="Z153" s="268"/>
      <c r="AA153" s="268"/>
      <c r="AB153" s="268"/>
      <c r="AC153" s="268"/>
      <c r="AD153" s="268"/>
      <c r="AE153" s="268"/>
      <c r="AF153" s="268"/>
      <c r="AG153" s="268"/>
      <c r="AH153" s="268"/>
      <c r="AI153" s="268"/>
      <c r="AJ153" s="268"/>
      <c r="AK153" s="268"/>
      <c r="AL153" s="268"/>
      <c r="AM153" s="268"/>
      <c r="AN153" s="268"/>
      <c r="AO153" s="268"/>
      <c r="AP153" s="268"/>
      <c r="AQ153" s="268"/>
      <c r="AR153" s="268"/>
      <c r="AS153" s="268"/>
      <c r="AT153" s="268"/>
      <c r="AU153" s="268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8"/>
      <c r="BF153" s="268"/>
      <c r="BG153" s="268"/>
      <c r="BH153" s="268"/>
      <c r="BI153" s="268"/>
      <c r="BJ153" s="268"/>
      <c r="BK153" s="268"/>
      <c r="BL153" s="268"/>
      <c r="BM153" s="268"/>
      <c r="BN153" s="268"/>
      <c r="BO153" s="268"/>
      <c r="BP153" s="268"/>
      <c r="BQ153" s="268"/>
      <c r="BR153" s="268"/>
      <c r="BS153" s="268"/>
      <c r="BT153" s="268"/>
      <c r="BU153" s="268"/>
      <c r="BV153" s="268"/>
      <c r="BW153" s="268"/>
      <c r="BX153" s="268"/>
      <c r="BY153" s="268"/>
      <c r="BZ153" s="268"/>
      <c r="CA153" s="268"/>
      <c r="CB153" s="268"/>
      <c r="CC153" s="268"/>
      <c r="CD153" s="268"/>
      <c r="CE153" s="268"/>
      <c r="CF153" s="268"/>
      <c r="CG153" s="268"/>
      <c r="CH153" s="268"/>
      <c r="CI153" s="268"/>
      <c r="CJ153" s="268"/>
      <c r="CK153" s="268"/>
      <c r="CL153" s="268"/>
      <c r="CM153" s="268"/>
      <c r="CN153" s="268"/>
      <c r="CO153" s="268"/>
      <c r="CP153" s="268"/>
      <c r="CQ153" s="268"/>
      <c r="CR153" s="268"/>
      <c r="CS153" s="268"/>
      <c r="CT153" s="268"/>
      <c r="CU153" s="268"/>
      <c r="CV153" s="268"/>
      <c r="CW153" s="268"/>
      <c r="CX153" s="268"/>
      <c r="CY153" s="268"/>
      <c r="CZ153" s="268"/>
      <c r="DA153" s="268"/>
      <c r="DB153" s="268"/>
      <c r="DC153" s="268"/>
      <c r="DD153" s="268"/>
      <c r="DE153" s="268"/>
      <c r="DF153" s="268"/>
      <c r="DG153" s="268"/>
      <c r="DH153" s="268"/>
      <c r="DI153" s="268"/>
      <c r="DJ153" s="268"/>
      <c r="DK153" s="268"/>
      <c r="DL153" s="268"/>
      <c r="DM153" s="268"/>
      <c r="DN153" s="268"/>
      <c r="DO153" s="268"/>
      <c r="DP153" s="268"/>
      <c r="DQ153" s="268"/>
      <c r="DR153" s="268"/>
      <c r="DS153" s="268"/>
      <c r="DT153" s="268"/>
      <c r="DU153" s="268"/>
      <c r="DV153" s="268"/>
      <c r="DW153" s="344"/>
      <c r="DX153" s="344"/>
      <c r="DY153" s="344"/>
      <c r="DZ153" s="344"/>
      <c r="EA153" s="344"/>
      <c r="EB153" s="344"/>
      <c r="EC153" s="344"/>
      <c r="ED153" s="344"/>
      <c r="EE153" s="344"/>
      <c r="EF153" s="344"/>
      <c r="EG153" s="344"/>
      <c r="EH153" s="344"/>
    </row>
    <row r="154" spans="1:138">
      <c r="A154" s="268"/>
      <c r="B154" s="342"/>
      <c r="C154" s="517" t="s">
        <v>340</v>
      </c>
      <c r="D154" s="522" t="e">
        <f>(D153-D151)/D152</f>
        <v>#REF!</v>
      </c>
      <c r="E154" s="268"/>
      <c r="F154" s="268"/>
      <c r="G154" s="268"/>
      <c r="H154" s="268"/>
      <c r="I154" s="268"/>
      <c r="J154" s="268"/>
      <c r="K154" s="268"/>
      <c r="L154" s="268"/>
      <c r="M154" s="268"/>
      <c r="N154" s="268"/>
      <c r="O154" s="268"/>
      <c r="P154" s="268"/>
      <c r="Q154" s="268"/>
      <c r="R154" s="268"/>
      <c r="S154" s="268"/>
      <c r="T154" s="268"/>
      <c r="U154" s="268"/>
      <c r="V154" s="268"/>
      <c r="W154" s="268"/>
      <c r="X154" s="268"/>
      <c r="Y154" s="268"/>
      <c r="Z154" s="268"/>
      <c r="AA154" s="268"/>
      <c r="AB154" s="268"/>
      <c r="AC154" s="268"/>
      <c r="AD154" s="268"/>
      <c r="AE154" s="268"/>
      <c r="AF154" s="268"/>
      <c r="AG154" s="268"/>
      <c r="AH154" s="268"/>
      <c r="AI154" s="268"/>
      <c r="AJ154" s="268"/>
      <c r="AK154" s="268"/>
      <c r="AL154" s="268"/>
      <c r="AM154" s="268"/>
      <c r="AN154" s="268"/>
      <c r="AO154" s="268"/>
      <c r="AP154" s="268"/>
      <c r="AQ154" s="268"/>
      <c r="AR154" s="268"/>
      <c r="AS154" s="268"/>
      <c r="AT154" s="268"/>
      <c r="AU154" s="268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8"/>
      <c r="BF154" s="268"/>
      <c r="BG154" s="268"/>
      <c r="BH154" s="268"/>
      <c r="BI154" s="268"/>
      <c r="BJ154" s="268"/>
      <c r="BK154" s="268"/>
      <c r="BL154" s="268"/>
      <c r="BM154" s="268"/>
      <c r="BN154" s="268"/>
      <c r="BO154" s="268"/>
      <c r="BP154" s="268"/>
      <c r="BQ154" s="268"/>
      <c r="BR154" s="268"/>
      <c r="BS154" s="268"/>
      <c r="BT154" s="268"/>
      <c r="BU154" s="268"/>
      <c r="BV154" s="268"/>
      <c r="BW154" s="268"/>
      <c r="BX154" s="268"/>
      <c r="BY154" s="268"/>
      <c r="BZ154" s="268"/>
      <c r="CA154" s="268"/>
      <c r="CB154" s="268"/>
      <c r="CC154" s="268"/>
      <c r="CD154" s="268"/>
      <c r="CE154" s="268"/>
      <c r="CF154" s="268"/>
      <c r="CG154" s="268"/>
      <c r="CH154" s="268"/>
      <c r="CI154" s="268"/>
      <c r="CJ154" s="268"/>
      <c r="CK154" s="268"/>
      <c r="CL154" s="268"/>
      <c r="CM154" s="268"/>
      <c r="CN154" s="268"/>
      <c r="CO154" s="268"/>
      <c r="CP154" s="268"/>
      <c r="CQ154" s="268"/>
      <c r="CR154" s="268"/>
      <c r="CS154" s="268"/>
      <c r="CT154" s="268"/>
      <c r="CU154" s="268"/>
      <c r="CV154" s="268"/>
      <c r="CW154" s="268"/>
      <c r="CX154" s="268"/>
      <c r="CY154" s="268"/>
      <c r="CZ154" s="268"/>
      <c r="DA154" s="268"/>
      <c r="DB154" s="268"/>
      <c r="DC154" s="268"/>
      <c r="DD154" s="268"/>
      <c r="DE154" s="268"/>
      <c r="DF154" s="268"/>
      <c r="DG154" s="268"/>
      <c r="DH154" s="268"/>
      <c r="DI154" s="268"/>
      <c r="DJ154" s="268"/>
      <c r="DK154" s="268"/>
      <c r="DL154" s="268"/>
      <c r="DM154" s="268"/>
      <c r="DN154" s="268"/>
      <c r="DO154" s="268"/>
      <c r="DP154" s="268"/>
      <c r="DQ154" s="268"/>
      <c r="DR154" s="268"/>
      <c r="DS154" s="268"/>
      <c r="DT154" s="268"/>
      <c r="DU154" s="268"/>
      <c r="DV154" s="268"/>
      <c r="DW154" s="344"/>
      <c r="DX154" s="344"/>
      <c r="DY154" s="344"/>
      <c r="DZ154" s="344"/>
      <c r="EA154" s="344"/>
      <c r="EB154" s="344"/>
      <c r="EC154" s="344"/>
      <c r="ED154" s="344"/>
      <c r="EE154" s="344"/>
      <c r="EF154" s="344"/>
      <c r="EG154" s="344"/>
      <c r="EH154" s="344"/>
    </row>
    <row r="155" spans="1:138">
      <c r="A155" s="268"/>
      <c r="B155" s="342"/>
      <c r="E155" s="268"/>
      <c r="F155" s="268"/>
      <c r="G155" s="268"/>
      <c r="H155" s="268"/>
      <c r="I155" s="268"/>
      <c r="J155" s="268"/>
      <c r="K155" s="268"/>
      <c r="L155" s="268"/>
      <c r="M155" s="268"/>
      <c r="N155" s="268"/>
      <c r="O155" s="268"/>
      <c r="P155" s="268"/>
      <c r="Q155" s="268"/>
      <c r="R155" s="268"/>
      <c r="S155" s="268"/>
      <c r="T155" s="268"/>
      <c r="U155" s="268"/>
      <c r="V155" s="268"/>
      <c r="W155" s="268"/>
      <c r="X155" s="268"/>
      <c r="Y155" s="268"/>
      <c r="Z155" s="268"/>
      <c r="AA155" s="268"/>
      <c r="AB155" s="268"/>
      <c r="AC155" s="268"/>
      <c r="AD155" s="268"/>
      <c r="AE155" s="268"/>
      <c r="AF155" s="268"/>
      <c r="AG155" s="268"/>
      <c r="AH155" s="268"/>
      <c r="AI155" s="268"/>
      <c r="AJ155" s="268"/>
      <c r="AK155" s="268"/>
      <c r="AL155" s="268"/>
      <c r="AM155" s="268"/>
      <c r="AN155" s="268"/>
      <c r="AO155" s="268"/>
      <c r="AP155" s="268"/>
      <c r="AQ155" s="268"/>
      <c r="AR155" s="268"/>
      <c r="AS155" s="268"/>
      <c r="AT155" s="268"/>
      <c r="AU155" s="268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8"/>
      <c r="BF155" s="268"/>
      <c r="BG155" s="268"/>
      <c r="BH155" s="268"/>
      <c r="BI155" s="268"/>
      <c r="BJ155" s="268"/>
      <c r="BK155" s="268"/>
      <c r="BL155" s="268"/>
      <c r="BM155" s="268"/>
      <c r="BN155" s="268"/>
      <c r="BO155" s="268"/>
      <c r="BP155" s="268"/>
      <c r="BQ155" s="268"/>
      <c r="BR155" s="268"/>
      <c r="BS155" s="268"/>
      <c r="BT155" s="268"/>
      <c r="BU155" s="268"/>
      <c r="BV155" s="268"/>
      <c r="BW155" s="268"/>
      <c r="BX155" s="268"/>
      <c r="BY155" s="268"/>
      <c r="BZ155" s="268"/>
      <c r="CA155" s="268"/>
      <c r="CB155" s="268"/>
      <c r="CC155" s="268"/>
      <c r="CD155" s="268"/>
      <c r="CE155" s="268"/>
      <c r="CF155" s="268"/>
      <c r="CG155" s="268"/>
      <c r="CH155" s="268"/>
      <c r="CI155" s="268"/>
      <c r="CJ155" s="268"/>
      <c r="CK155" s="268"/>
      <c r="CL155" s="268"/>
      <c r="CM155" s="268"/>
      <c r="CN155" s="268"/>
      <c r="CO155" s="268"/>
      <c r="CP155" s="268"/>
      <c r="CQ155" s="268"/>
      <c r="CR155" s="268"/>
      <c r="CS155" s="268"/>
      <c r="CT155" s="268"/>
      <c r="CU155" s="268"/>
      <c r="CV155" s="268"/>
      <c r="CW155" s="268"/>
      <c r="CX155" s="268"/>
      <c r="CY155" s="268"/>
      <c r="CZ155" s="268"/>
      <c r="DA155" s="268"/>
      <c r="DB155" s="268"/>
      <c r="DC155" s="268"/>
      <c r="DD155" s="268"/>
      <c r="DE155" s="268"/>
      <c r="DF155" s="268"/>
      <c r="DG155" s="268"/>
      <c r="DH155" s="268"/>
      <c r="DI155" s="268"/>
      <c r="DJ155" s="268"/>
      <c r="DK155" s="268"/>
      <c r="DL155" s="268"/>
      <c r="DM155" s="268"/>
      <c r="DN155" s="268"/>
      <c r="DO155" s="268"/>
      <c r="DP155" s="268"/>
      <c r="DQ155" s="268"/>
      <c r="DR155" s="268"/>
      <c r="DS155" s="268"/>
      <c r="DT155" s="268"/>
      <c r="DU155" s="268"/>
      <c r="DV155" s="268"/>
      <c r="DW155" s="344"/>
      <c r="DX155" s="344"/>
      <c r="DY155" s="344"/>
      <c r="DZ155" s="344"/>
      <c r="EA155" s="344"/>
      <c r="EB155" s="344"/>
      <c r="EC155" s="344"/>
      <c r="ED155" s="344"/>
      <c r="EE155" s="344"/>
      <c r="EF155" s="344"/>
      <c r="EG155" s="344"/>
      <c r="EH155" s="344"/>
    </row>
    <row r="156" spans="1:138" hidden="1">
      <c r="A156" s="268"/>
      <c r="B156" s="342"/>
      <c r="E156" s="268"/>
      <c r="F156" s="268"/>
      <c r="G156" s="268"/>
      <c r="H156" s="268"/>
      <c r="I156" s="268"/>
      <c r="J156" s="268"/>
      <c r="K156" s="268"/>
      <c r="L156" s="268"/>
      <c r="M156" s="268"/>
      <c r="N156" s="268"/>
      <c r="O156" s="268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268"/>
      <c r="AE156" s="268"/>
      <c r="AF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8"/>
      <c r="BF156" s="268"/>
      <c r="BG156" s="268"/>
      <c r="BH156" s="268"/>
      <c r="BI156" s="268"/>
      <c r="BJ156" s="268"/>
      <c r="BK156" s="268"/>
      <c r="BL156" s="268"/>
      <c r="BM156" s="268"/>
      <c r="BN156" s="268"/>
      <c r="BO156" s="268"/>
      <c r="BP156" s="268"/>
      <c r="BQ156" s="268"/>
      <c r="BR156" s="268"/>
      <c r="BS156" s="268"/>
      <c r="BT156" s="268"/>
      <c r="BU156" s="268"/>
      <c r="BV156" s="268"/>
      <c r="BW156" s="268"/>
      <c r="BX156" s="268"/>
      <c r="BY156" s="268"/>
      <c r="BZ156" s="268"/>
      <c r="CA156" s="268"/>
      <c r="CB156" s="268"/>
      <c r="CC156" s="268"/>
      <c r="CD156" s="268"/>
      <c r="CE156" s="268"/>
      <c r="CF156" s="268"/>
      <c r="CG156" s="268"/>
      <c r="CH156" s="268"/>
      <c r="CI156" s="268"/>
      <c r="CJ156" s="268"/>
      <c r="CK156" s="268"/>
      <c r="CL156" s="268"/>
      <c r="CM156" s="268"/>
      <c r="CN156" s="268"/>
      <c r="CO156" s="268"/>
      <c r="CP156" s="268"/>
      <c r="CQ156" s="268"/>
      <c r="CR156" s="268"/>
      <c r="CS156" s="268"/>
      <c r="CT156" s="268"/>
      <c r="CU156" s="268"/>
      <c r="CV156" s="268"/>
      <c r="CW156" s="268"/>
      <c r="CX156" s="268"/>
      <c r="CY156" s="268"/>
      <c r="CZ156" s="268"/>
      <c r="DA156" s="268"/>
      <c r="DB156" s="268"/>
      <c r="DC156" s="268"/>
      <c r="DD156" s="268"/>
      <c r="DE156" s="268"/>
      <c r="DF156" s="268"/>
      <c r="DG156" s="268"/>
      <c r="DH156" s="268"/>
      <c r="DI156" s="268"/>
      <c r="DJ156" s="268"/>
      <c r="DK156" s="268"/>
      <c r="DL156" s="268"/>
      <c r="DM156" s="268"/>
      <c r="DN156" s="268"/>
      <c r="DO156" s="268"/>
      <c r="DP156" s="268"/>
      <c r="DQ156" s="268"/>
      <c r="DR156" s="268"/>
      <c r="DS156" s="268"/>
      <c r="DT156" s="268"/>
      <c r="DU156" s="268"/>
      <c r="DV156" s="268"/>
      <c r="DW156" s="344"/>
      <c r="DX156" s="344"/>
      <c r="DY156" s="344"/>
      <c r="DZ156" s="344"/>
      <c r="EA156" s="344"/>
      <c r="EB156" s="344"/>
      <c r="EC156" s="344"/>
      <c r="ED156" s="344"/>
      <c r="EE156" s="344"/>
      <c r="EF156" s="344"/>
      <c r="EG156" s="344"/>
      <c r="EH156" s="344"/>
    </row>
    <row r="157" spans="1:138">
      <c r="A157" s="268"/>
      <c r="B157" s="342"/>
      <c r="E157" s="268"/>
      <c r="F157" s="268"/>
      <c r="G157" s="268"/>
      <c r="H157" s="268"/>
      <c r="I157" s="268"/>
      <c r="J157" s="268"/>
      <c r="K157" s="268"/>
      <c r="L157" s="268"/>
      <c r="M157" s="268"/>
      <c r="N157" s="268"/>
      <c r="O157" s="268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268"/>
      <c r="AE157" s="268"/>
      <c r="AF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  <c r="AZ157" s="268"/>
      <c r="BA157" s="268"/>
      <c r="BB157" s="268"/>
      <c r="BC157" s="268"/>
      <c r="BD157" s="268"/>
      <c r="BE157" s="268"/>
      <c r="BF157" s="268"/>
      <c r="BG157" s="268"/>
      <c r="BH157" s="268"/>
      <c r="BI157" s="268"/>
      <c r="BJ157" s="268"/>
      <c r="BK157" s="268"/>
      <c r="BL157" s="268"/>
      <c r="BM157" s="268"/>
      <c r="BN157" s="268"/>
      <c r="BO157" s="268"/>
      <c r="BP157" s="268"/>
      <c r="BQ157" s="268"/>
      <c r="BR157" s="268"/>
      <c r="BS157" s="268"/>
      <c r="BT157" s="268"/>
      <c r="BU157" s="268"/>
      <c r="BV157" s="268"/>
      <c r="BW157" s="268"/>
      <c r="BX157" s="268"/>
      <c r="BY157" s="268"/>
      <c r="BZ157" s="268"/>
      <c r="CA157" s="268"/>
      <c r="CB157" s="268"/>
      <c r="CC157" s="268"/>
      <c r="CD157" s="268"/>
      <c r="CE157" s="268"/>
      <c r="CF157" s="268"/>
      <c r="CG157" s="268"/>
      <c r="CH157" s="268"/>
      <c r="CI157" s="268"/>
      <c r="CJ157" s="268"/>
      <c r="CK157" s="268"/>
      <c r="CL157" s="268"/>
      <c r="CM157" s="268"/>
      <c r="CN157" s="268"/>
      <c r="CO157" s="268"/>
      <c r="CP157" s="268"/>
      <c r="CQ157" s="268"/>
      <c r="CR157" s="268"/>
      <c r="CS157" s="268"/>
      <c r="CT157" s="268"/>
      <c r="CU157" s="268"/>
      <c r="CV157" s="268"/>
      <c r="CW157" s="268"/>
      <c r="CX157" s="268"/>
      <c r="CY157" s="268"/>
      <c r="CZ157" s="268"/>
      <c r="DA157" s="268"/>
      <c r="DB157" s="268"/>
      <c r="DC157" s="268"/>
      <c r="DD157" s="268"/>
      <c r="DE157" s="268"/>
      <c r="DF157" s="268"/>
      <c r="DG157" s="268"/>
      <c r="DH157" s="268"/>
      <c r="DI157" s="268"/>
      <c r="DJ157" s="268"/>
      <c r="DK157" s="268"/>
      <c r="DL157" s="268"/>
      <c r="DM157" s="268"/>
      <c r="DN157" s="268"/>
      <c r="DO157" s="268"/>
      <c r="DP157" s="268"/>
      <c r="DQ157" s="268"/>
      <c r="DR157" s="268"/>
      <c r="DS157" s="268"/>
      <c r="DT157" s="268"/>
      <c r="DU157" s="268"/>
      <c r="DV157" s="268"/>
      <c r="DW157" s="344"/>
      <c r="DX157" s="344"/>
      <c r="DY157" s="344"/>
      <c r="DZ157" s="344"/>
      <c r="EA157" s="344"/>
      <c r="EB157" s="344"/>
      <c r="EC157" s="344"/>
      <c r="ED157" s="344"/>
      <c r="EE157" s="344"/>
      <c r="EF157" s="344"/>
      <c r="EG157" s="344"/>
      <c r="EH157" s="344"/>
    </row>
    <row r="158" spans="1:138">
      <c r="A158" s="268"/>
      <c r="B158" s="342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268"/>
      <c r="S158" s="268"/>
      <c r="T158" s="268"/>
      <c r="U158" s="268"/>
      <c r="V158" s="268"/>
      <c r="W158" s="268"/>
      <c r="X158" s="268"/>
      <c r="Y158" s="268"/>
      <c r="Z158" s="268"/>
      <c r="AA158" s="268"/>
      <c r="AB158" s="268"/>
      <c r="AC158" s="268"/>
      <c r="AD158" s="268"/>
      <c r="AE158" s="268"/>
      <c r="AF158" s="268"/>
      <c r="AG158" s="268"/>
      <c r="AH158" s="268"/>
      <c r="AI158" s="268"/>
      <c r="AJ158" s="268"/>
      <c r="AK158" s="268"/>
      <c r="AL158" s="268"/>
      <c r="AM158" s="268"/>
      <c r="AN158" s="268"/>
      <c r="AO158" s="268"/>
      <c r="AP158" s="268"/>
      <c r="AQ158" s="268"/>
      <c r="AR158" s="268"/>
      <c r="AS158" s="268"/>
      <c r="AT158" s="268"/>
      <c r="AU158" s="268"/>
      <c r="AV158" s="268"/>
      <c r="AW158" s="268"/>
      <c r="AX158" s="268"/>
      <c r="AY158" s="268"/>
      <c r="AZ158" s="268"/>
      <c r="BA158" s="268"/>
      <c r="BB158" s="268"/>
      <c r="BC158" s="268"/>
      <c r="BD158" s="268"/>
      <c r="BE158" s="268"/>
      <c r="BF158" s="268"/>
      <c r="BG158" s="268"/>
      <c r="BH158" s="268"/>
      <c r="BI158" s="268"/>
      <c r="BJ158" s="268"/>
      <c r="BK158" s="268"/>
      <c r="BL158" s="268"/>
      <c r="BM158" s="268"/>
      <c r="BN158" s="268"/>
      <c r="BO158" s="268"/>
      <c r="BP158" s="268"/>
      <c r="BQ158" s="268"/>
      <c r="BR158" s="268"/>
      <c r="BS158" s="268"/>
      <c r="BT158" s="268"/>
      <c r="BU158" s="268"/>
      <c r="BV158" s="268"/>
      <c r="BW158" s="268"/>
      <c r="BX158" s="268"/>
      <c r="BY158" s="268"/>
      <c r="BZ158" s="268"/>
      <c r="CA158" s="268"/>
      <c r="CB158" s="268"/>
      <c r="CC158" s="268"/>
      <c r="CD158" s="268"/>
      <c r="CE158" s="268"/>
      <c r="CF158" s="268"/>
      <c r="CG158" s="268"/>
      <c r="CH158" s="268"/>
      <c r="CI158" s="268"/>
      <c r="CJ158" s="268"/>
      <c r="CK158" s="268"/>
      <c r="CL158" s="268"/>
      <c r="CM158" s="268"/>
      <c r="CN158" s="268"/>
      <c r="CO158" s="268"/>
      <c r="CP158" s="268"/>
      <c r="CQ158" s="268"/>
      <c r="CR158" s="268"/>
      <c r="CS158" s="268"/>
      <c r="CT158" s="268"/>
      <c r="CU158" s="268"/>
      <c r="CV158" s="268"/>
      <c r="CW158" s="268"/>
      <c r="CX158" s="268"/>
      <c r="CY158" s="268"/>
      <c r="CZ158" s="268"/>
      <c r="DA158" s="268"/>
      <c r="DB158" s="268"/>
      <c r="DC158" s="268"/>
      <c r="DD158" s="268"/>
      <c r="DE158" s="268"/>
      <c r="DF158" s="268"/>
      <c r="DG158" s="268"/>
      <c r="DH158" s="268"/>
      <c r="DI158" s="268"/>
      <c r="DJ158" s="268"/>
      <c r="DK158" s="268"/>
      <c r="DL158" s="268"/>
      <c r="DM158" s="268"/>
      <c r="DN158" s="268"/>
      <c r="DO158" s="268"/>
      <c r="DP158" s="268"/>
      <c r="DQ158" s="268"/>
      <c r="DR158" s="268"/>
      <c r="DS158" s="268"/>
      <c r="DT158" s="268"/>
      <c r="DU158" s="268"/>
      <c r="DV158" s="268"/>
      <c r="DW158" s="344"/>
      <c r="DX158" s="344"/>
      <c r="DY158" s="344"/>
      <c r="DZ158" s="344"/>
      <c r="EA158" s="344"/>
      <c r="EB158" s="344"/>
      <c r="EC158" s="344"/>
      <c r="ED158" s="344"/>
      <c r="EE158" s="344"/>
      <c r="EF158" s="344"/>
      <c r="EG158" s="344"/>
      <c r="EH158" s="344"/>
    </row>
    <row r="159" spans="1:138">
      <c r="A159" s="268"/>
      <c r="B159" s="342"/>
      <c r="C159" s="339" t="s">
        <v>346</v>
      </c>
      <c r="D159" s="515"/>
      <c r="E159" s="516">
        <f t="shared" ref="E159:BX159" si="60">-(E8+E93)</f>
        <v>0</v>
      </c>
      <c r="F159" s="516">
        <f t="shared" si="60"/>
        <v>0</v>
      </c>
      <c r="G159" s="516">
        <f t="shared" si="60"/>
        <v>0</v>
      </c>
      <c r="H159" s="516">
        <f t="shared" si="60"/>
        <v>0</v>
      </c>
      <c r="I159" s="516">
        <f t="shared" si="60"/>
        <v>0</v>
      </c>
      <c r="J159" s="516">
        <f t="shared" si="60"/>
        <v>0</v>
      </c>
      <c r="K159" s="516">
        <f t="shared" si="60"/>
        <v>0</v>
      </c>
      <c r="L159" s="516">
        <f t="shared" si="60"/>
        <v>0</v>
      </c>
      <c r="M159" s="516">
        <f t="shared" si="60"/>
        <v>0</v>
      </c>
      <c r="N159" s="516">
        <f t="shared" si="60"/>
        <v>0</v>
      </c>
      <c r="O159" s="516">
        <f t="shared" si="60"/>
        <v>0</v>
      </c>
      <c r="P159" s="516">
        <f t="shared" si="60"/>
        <v>0</v>
      </c>
      <c r="Q159" s="516">
        <f t="shared" si="60"/>
        <v>0</v>
      </c>
      <c r="R159" s="516">
        <f t="shared" si="60"/>
        <v>0</v>
      </c>
      <c r="S159" s="516">
        <f t="shared" si="60"/>
        <v>0</v>
      </c>
      <c r="T159" s="516">
        <f t="shared" si="60"/>
        <v>0</v>
      </c>
      <c r="U159" s="516">
        <f t="shared" si="60"/>
        <v>0</v>
      </c>
      <c r="V159" s="516">
        <f t="shared" si="60"/>
        <v>0</v>
      </c>
      <c r="W159" s="516">
        <f t="shared" si="60"/>
        <v>0</v>
      </c>
      <c r="X159" s="516">
        <f t="shared" si="60"/>
        <v>0</v>
      </c>
      <c r="Y159" s="516">
        <f t="shared" si="60"/>
        <v>0</v>
      </c>
      <c r="Z159" s="516">
        <f t="shared" si="60"/>
        <v>0</v>
      </c>
      <c r="AA159" s="516">
        <f t="shared" si="60"/>
        <v>0</v>
      </c>
      <c r="AB159" s="516">
        <f t="shared" si="60"/>
        <v>0</v>
      </c>
      <c r="AC159" s="516">
        <f t="shared" si="60"/>
        <v>0</v>
      </c>
      <c r="AD159" s="516">
        <f t="shared" si="60"/>
        <v>0</v>
      </c>
      <c r="AE159" s="516">
        <f t="shared" si="60"/>
        <v>0</v>
      </c>
      <c r="AF159" s="516">
        <f t="shared" si="60"/>
        <v>0</v>
      </c>
      <c r="AG159" s="516">
        <f t="shared" si="60"/>
        <v>0</v>
      </c>
      <c r="AH159" s="516">
        <f t="shared" si="60"/>
        <v>0</v>
      </c>
      <c r="AI159" s="516">
        <f t="shared" si="60"/>
        <v>0</v>
      </c>
      <c r="AJ159" s="516">
        <f t="shared" si="60"/>
        <v>0</v>
      </c>
      <c r="AK159" s="516">
        <f t="shared" si="60"/>
        <v>0</v>
      </c>
      <c r="AL159" s="516">
        <f t="shared" si="60"/>
        <v>0</v>
      </c>
      <c r="AM159" s="516">
        <f t="shared" si="60"/>
        <v>0</v>
      </c>
      <c r="AN159" s="516">
        <f t="shared" si="60"/>
        <v>0</v>
      </c>
      <c r="AO159" s="516">
        <f t="shared" si="60"/>
        <v>0</v>
      </c>
      <c r="AP159" s="516">
        <f t="shared" si="60"/>
        <v>0</v>
      </c>
      <c r="AQ159" s="516">
        <f t="shared" si="60"/>
        <v>0</v>
      </c>
      <c r="AR159" s="516">
        <f t="shared" si="60"/>
        <v>0</v>
      </c>
      <c r="AS159" s="516">
        <f t="shared" si="60"/>
        <v>0</v>
      </c>
      <c r="AT159" s="516">
        <f t="shared" si="60"/>
        <v>0</v>
      </c>
      <c r="AU159" s="516">
        <f t="shared" si="60"/>
        <v>0</v>
      </c>
      <c r="AV159" s="516">
        <f t="shared" si="60"/>
        <v>0</v>
      </c>
      <c r="AW159" s="516">
        <f t="shared" si="60"/>
        <v>0</v>
      </c>
      <c r="AX159" s="516">
        <f t="shared" si="60"/>
        <v>0</v>
      </c>
      <c r="AY159" s="516">
        <f t="shared" si="60"/>
        <v>0</v>
      </c>
      <c r="AZ159" s="516">
        <f t="shared" si="60"/>
        <v>0</v>
      </c>
      <c r="BA159" s="516">
        <f t="shared" si="60"/>
        <v>0</v>
      </c>
      <c r="BB159" s="516">
        <f t="shared" si="60"/>
        <v>0</v>
      </c>
      <c r="BC159" s="516">
        <f t="shared" si="60"/>
        <v>0</v>
      </c>
      <c r="BD159" s="516">
        <f t="shared" si="60"/>
        <v>0</v>
      </c>
      <c r="BE159" s="516">
        <f t="shared" si="60"/>
        <v>0</v>
      </c>
      <c r="BF159" s="516">
        <f t="shared" si="60"/>
        <v>0</v>
      </c>
      <c r="BG159" s="516">
        <f t="shared" si="60"/>
        <v>0</v>
      </c>
      <c r="BH159" s="516">
        <f t="shared" si="60"/>
        <v>0</v>
      </c>
      <c r="BI159" s="516">
        <f t="shared" si="60"/>
        <v>0</v>
      </c>
      <c r="BJ159" s="516">
        <f t="shared" si="60"/>
        <v>0</v>
      </c>
      <c r="BK159" s="516">
        <f t="shared" si="60"/>
        <v>0</v>
      </c>
      <c r="BL159" s="516">
        <f t="shared" si="60"/>
        <v>0</v>
      </c>
      <c r="BM159" s="516">
        <f t="shared" si="60"/>
        <v>0</v>
      </c>
      <c r="BN159" s="516">
        <f t="shared" si="60"/>
        <v>0</v>
      </c>
      <c r="BO159" s="516">
        <f t="shared" si="60"/>
        <v>0</v>
      </c>
      <c r="BP159" s="516">
        <f t="shared" si="60"/>
        <v>0</v>
      </c>
      <c r="BQ159" s="516">
        <f t="shared" si="60"/>
        <v>0</v>
      </c>
      <c r="BR159" s="516">
        <f t="shared" si="60"/>
        <v>0</v>
      </c>
      <c r="BS159" s="516">
        <f t="shared" si="60"/>
        <v>0</v>
      </c>
      <c r="BT159" s="516">
        <f t="shared" si="60"/>
        <v>0</v>
      </c>
      <c r="BU159" s="516">
        <f t="shared" si="60"/>
        <v>0</v>
      </c>
      <c r="BV159" s="516">
        <f t="shared" si="60"/>
        <v>0</v>
      </c>
      <c r="BW159" s="516">
        <f t="shared" si="60"/>
        <v>0</v>
      </c>
      <c r="BX159" s="516">
        <f t="shared" si="60"/>
        <v>0</v>
      </c>
      <c r="BY159" s="268"/>
      <c r="BZ159" s="268"/>
      <c r="CA159" s="268"/>
      <c r="CB159" s="268"/>
      <c r="CC159" s="268"/>
      <c r="CD159" s="268"/>
      <c r="CE159" s="268"/>
      <c r="CF159" s="268"/>
      <c r="CG159" s="268"/>
      <c r="CH159" s="268"/>
      <c r="CI159" s="268"/>
      <c r="CJ159" s="268"/>
      <c r="CK159" s="268"/>
      <c r="CL159" s="268"/>
      <c r="CM159" s="268"/>
      <c r="CN159" s="268"/>
      <c r="CO159" s="268"/>
      <c r="CP159" s="268"/>
      <c r="CQ159" s="268"/>
      <c r="CR159" s="268"/>
      <c r="CS159" s="268"/>
      <c r="CT159" s="268"/>
      <c r="CU159" s="268"/>
      <c r="CV159" s="268"/>
      <c r="CW159" s="268"/>
      <c r="CX159" s="268"/>
      <c r="CY159" s="268"/>
      <c r="CZ159" s="268"/>
      <c r="DA159" s="268"/>
      <c r="DB159" s="268"/>
      <c r="DC159" s="268"/>
      <c r="DD159" s="268"/>
      <c r="DE159" s="268"/>
      <c r="DF159" s="268"/>
      <c r="DG159" s="268"/>
      <c r="DH159" s="268"/>
      <c r="DI159" s="268"/>
      <c r="DJ159" s="268"/>
      <c r="DK159" s="268"/>
      <c r="DL159" s="268"/>
      <c r="DM159" s="268"/>
      <c r="DN159" s="268"/>
      <c r="DO159" s="268"/>
      <c r="DP159" s="268"/>
      <c r="DQ159" s="268"/>
      <c r="DR159" s="268"/>
      <c r="DS159" s="268"/>
      <c r="DT159" s="268"/>
      <c r="DU159" s="268"/>
      <c r="DV159" s="268"/>
      <c r="DW159" s="268"/>
      <c r="DX159" s="268"/>
      <c r="DY159" s="268"/>
      <c r="DZ159" s="268"/>
      <c r="EA159" s="268"/>
      <c r="EB159" s="268"/>
      <c r="EC159" s="268"/>
      <c r="ED159" s="268"/>
      <c r="EE159" s="268"/>
      <c r="EF159" s="268"/>
      <c r="EG159" s="268"/>
      <c r="EH159" s="268"/>
    </row>
    <row r="160" spans="1:138">
      <c r="A160" s="268"/>
      <c r="B160" s="342"/>
      <c r="C160" s="339" t="s">
        <v>342</v>
      </c>
      <c r="D160" s="520"/>
      <c r="E160" s="515"/>
      <c r="F160" s="515"/>
      <c r="G160" s="515"/>
      <c r="H160" s="515"/>
      <c r="I160" s="515"/>
      <c r="J160" s="515"/>
      <c r="K160" s="515"/>
      <c r="L160" s="515"/>
      <c r="M160" s="515"/>
      <c r="N160" s="515"/>
      <c r="O160" s="515"/>
      <c r="P160" s="515"/>
      <c r="Q160" s="515"/>
      <c r="R160" s="515"/>
      <c r="S160" s="515"/>
      <c r="T160" s="515"/>
      <c r="U160" s="515"/>
      <c r="V160" s="515"/>
      <c r="W160" s="515"/>
      <c r="X160" s="515"/>
      <c r="Y160" s="515"/>
      <c r="Z160" s="515"/>
      <c r="AA160" s="515"/>
      <c r="AB160" s="515"/>
      <c r="AC160" s="515"/>
      <c r="AD160" s="515"/>
      <c r="AE160" s="515"/>
      <c r="AF160" s="515"/>
      <c r="AG160" s="515"/>
      <c r="AH160" s="515"/>
      <c r="AI160" s="515"/>
      <c r="AJ160" s="515"/>
      <c r="AK160" s="515"/>
      <c r="AL160" s="515"/>
      <c r="AM160" s="515"/>
      <c r="AN160" s="515"/>
      <c r="AO160" s="515"/>
      <c r="AP160" s="515"/>
      <c r="AQ160" s="515"/>
      <c r="AR160" s="515"/>
      <c r="AS160" s="515"/>
      <c r="AT160" s="515"/>
      <c r="AU160" s="515"/>
      <c r="AV160" s="515"/>
      <c r="AW160" s="515"/>
      <c r="AX160" s="515"/>
      <c r="AY160" s="515"/>
      <c r="AZ160" s="515"/>
      <c r="BA160" s="515"/>
      <c r="BB160" s="515"/>
      <c r="BC160" s="516"/>
      <c r="BD160" s="515"/>
      <c r="BE160" s="515"/>
      <c r="BF160" s="515"/>
      <c r="BG160" s="515"/>
      <c r="BH160" s="515"/>
      <c r="BI160" s="515"/>
      <c r="BJ160" s="515"/>
      <c r="BK160" s="515"/>
      <c r="BL160" s="515"/>
      <c r="BM160" s="515"/>
      <c r="BN160" s="515"/>
      <c r="BO160" s="515"/>
      <c r="BP160" s="515"/>
      <c r="BQ160" s="515"/>
      <c r="BR160" s="515"/>
      <c r="BS160" s="515"/>
      <c r="BT160" s="515"/>
      <c r="BU160" s="515"/>
      <c r="BV160" s="515"/>
      <c r="BW160" s="515"/>
      <c r="BX160" s="515"/>
      <c r="BY160" s="336"/>
      <c r="BZ160" s="336"/>
      <c r="CA160" s="268"/>
      <c r="CB160" s="268"/>
      <c r="CC160" s="268"/>
      <c r="CD160" s="268"/>
      <c r="CE160" s="268"/>
      <c r="CF160" s="268"/>
      <c r="CG160" s="268"/>
      <c r="CH160" s="268"/>
      <c r="CI160" s="268"/>
      <c r="CJ160" s="268"/>
      <c r="CK160" s="268"/>
      <c r="CL160" s="268"/>
      <c r="CM160" s="268"/>
      <c r="CN160" s="268"/>
      <c r="CO160" s="268"/>
      <c r="CP160" s="268"/>
      <c r="CQ160" s="268"/>
      <c r="CR160" s="268"/>
      <c r="CS160" s="268"/>
      <c r="CT160" s="268"/>
      <c r="CU160" s="268"/>
      <c r="CV160" s="268"/>
      <c r="CW160" s="268"/>
      <c r="CX160" s="268"/>
      <c r="CY160" s="268"/>
      <c r="CZ160" s="268"/>
      <c r="DA160" s="268"/>
      <c r="DB160" s="268"/>
      <c r="DC160" s="268"/>
      <c r="DD160" s="268"/>
      <c r="DE160" s="268"/>
      <c r="DF160" s="268"/>
      <c r="DG160" s="268"/>
      <c r="DH160" s="268"/>
      <c r="DI160" s="268"/>
      <c r="DJ160" s="268"/>
      <c r="DK160" s="268"/>
      <c r="DL160" s="268"/>
      <c r="DM160" s="268"/>
      <c r="DN160" s="268"/>
      <c r="DO160" s="268"/>
      <c r="DP160" s="268"/>
      <c r="DQ160" s="268"/>
      <c r="DR160" s="268"/>
      <c r="DS160" s="268"/>
      <c r="DT160" s="268"/>
      <c r="DU160" s="268"/>
      <c r="DV160" s="268"/>
      <c r="DW160" s="268"/>
      <c r="DX160" s="268"/>
      <c r="DY160" s="268"/>
      <c r="DZ160" s="268"/>
      <c r="EA160" s="268"/>
      <c r="EB160" s="268"/>
      <c r="EC160" s="268"/>
      <c r="ED160" s="268"/>
      <c r="EE160" s="268"/>
      <c r="EF160" s="268"/>
      <c r="EG160" s="268"/>
      <c r="EH160" s="268"/>
    </row>
    <row r="161" spans="1:138">
      <c r="A161" s="268"/>
      <c r="B161" s="342"/>
      <c r="C161" s="339" t="s">
        <v>333</v>
      </c>
      <c r="D161" s="520"/>
      <c r="E161" s="515">
        <f t="shared" ref="E161:BX161" si="61">-E58</f>
        <v>0</v>
      </c>
      <c r="F161" s="515">
        <f t="shared" si="61"/>
        <v>0</v>
      </c>
      <c r="G161" s="515">
        <f t="shared" si="61"/>
        <v>0</v>
      </c>
      <c r="H161" s="515">
        <f t="shared" si="61"/>
        <v>0</v>
      </c>
      <c r="I161" s="515">
        <f t="shared" si="61"/>
        <v>0</v>
      </c>
      <c r="J161" s="515">
        <f t="shared" si="61"/>
        <v>0</v>
      </c>
      <c r="K161" s="515">
        <f t="shared" si="61"/>
        <v>0</v>
      </c>
      <c r="L161" s="515">
        <f t="shared" si="61"/>
        <v>0</v>
      </c>
      <c r="M161" s="515">
        <f t="shared" si="61"/>
        <v>0</v>
      </c>
      <c r="N161" s="515">
        <f t="shared" si="61"/>
        <v>0</v>
      </c>
      <c r="O161" s="515">
        <f t="shared" si="61"/>
        <v>0</v>
      </c>
      <c r="P161" s="515">
        <f t="shared" si="61"/>
        <v>0</v>
      </c>
      <c r="Q161" s="515">
        <f t="shared" si="61"/>
        <v>0</v>
      </c>
      <c r="R161" s="515">
        <f t="shared" si="61"/>
        <v>0</v>
      </c>
      <c r="S161" s="515">
        <f t="shared" si="61"/>
        <v>0</v>
      </c>
      <c r="T161" s="515">
        <f t="shared" si="61"/>
        <v>0</v>
      </c>
      <c r="U161" s="515">
        <f t="shared" si="61"/>
        <v>0</v>
      </c>
      <c r="V161" s="515">
        <f t="shared" si="61"/>
        <v>0</v>
      </c>
      <c r="W161" s="515">
        <f t="shared" si="61"/>
        <v>0</v>
      </c>
      <c r="X161" s="515">
        <f t="shared" si="61"/>
        <v>0</v>
      </c>
      <c r="Y161" s="515">
        <f t="shared" si="61"/>
        <v>0</v>
      </c>
      <c r="Z161" s="515">
        <f t="shared" si="61"/>
        <v>0</v>
      </c>
      <c r="AA161" s="515">
        <f t="shared" si="61"/>
        <v>0</v>
      </c>
      <c r="AB161" s="515">
        <f t="shared" si="61"/>
        <v>0</v>
      </c>
      <c r="AC161" s="515">
        <f t="shared" si="61"/>
        <v>0</v>
      </c>
      <c r="AD161" s="515">
        <f t="shared" si="61"/>
        <v>0</v>
      </c>
      <c r="AE161" s="515">
        <f t="shared" si="61"/>
        <v>0</v>
      </c>
      <c r="AF161" s="515">
        <f t="shared" si="61"/>
        <v>0</v>
      </c>
      <c r="AG161" s="515">
        <f t="shared" si="61"/>
        <v>0</v>
      </c>
      <c r="AH161" s="515">
        <f t="shared" si="61"/>
        <v>0</v>
      </c>
      <c r="AI161" s="515">
        <f t="shared" si="61"/>
        <v>0</v>
      </c>
      <c r="AJ161" s="515">
        <f t="shared" si="61"/>
        <v>0</v>
      </c>
      <c r="AK161" s="515">
        <f t="shared" si="61"/>
        <v>0</v>
      </c>
      <c r="AL161" s="515">
        <f t="shared" si="61"/>
        <v>0</v>
      </c>
      <c r="AM161" s="515">
        <f t="shared" si="61"/>
        <v>0</v>
      </c>
      <c r="AN161" s="515">
        <f t="shared" si="61"/>
        <v>0</v>
      </c>
      <c r="AO161" s="515">
        <f t="shared" si="61"/>
        <v>0</v>
      </c>
      <c r="AP161" s="515">
        <f t="shared" si="61"/>
        <v>0</v>
      </c>
      <c r="AQ161" s="515">
        <f t="shared" si="61"/>
        <v>0</v>
      </c>
      <c r="AR161" s="515">
        <f t="shared" si="61"/>
        <v>0</v>
      </c>
      <c r="AS161" s="515">
        <f t="shared" si="61"/>
        <v>0</v>
      </c>
      <c r="AT161" s="515">
        <f t="shared" si="61"/>
        <v>0</v>
      </c>
      <c r="AU161" s="515">
        <f t="shared" si="61"/>
        <v>0</v>
      </c>
      <c r="AV161" s="515">
        <f t="shared" si="61"/>
        <v>0</v>
      </c>
      <c r="AW161" s="515">
        <f t="shared" si="61"/>
        <v>0</v>
      </c>
      <c r="AX161" s="515">
        <f t="shared" si="61"/>
        <v>0</v>
      </c>
      <c r="AY161" s="515">
        <f t="shared" si="61"/>
        <v>0</v>
      </c>
      <c r="AZ161" s="515">
        <f t="shared" si="61"/>
        <v>0</v>
      </c>
      <c r="BA161" s="515">
        <f t="shared" si="61"/>
        <v>0</v>
      </c>
      <c r="BB161" s="515">
        <f t="shared" si="61"/>
        <v>0</v>
      </c>
      <c r="BC161" s="515">
        <f t="shared" si="61"/>
        <v>0</v>
      </c>
      <c r="BD161" s="515">
        <f t="shared" si="61"/>
        <v>0</v>
      </c>
      <c r="BE161" s="515">
        <f t="shared" si="61"/>
        <v>0</v>
      </c>
      <c r="BF161" s="515">
        <f t="shared" si="61"/>
        <v>0</v>
      </c>
      <c r="BG161" s="515">
        <f t="shared" si="61"/>
        <v>0</v>
      </c>
      <c r="BH161" s="515">
        <f t="shared" si="61"/>
        <v>0</v>
      </c>
      <c r="BI161" s="515">
        <f t="shared" si="61"/>
        <v>0</v>
      </c>
      <c r="BJ161" s="515">
        <f t="shared" si="61"/>
        <v>0</v>
      </c>
      <c r="BK161" s="515">
        <f t="shared" si="61"/>
        <v>0</v>
      </c>
      <c r="BL161" s="515">
        <f t="shared" si="61"/>
        <v>0</v>
      </c>
      <c r="BM161" s="515">
        <f t="shared" si="61"/>
        <v>0</v>
      </c>
      <c r="BN161" s="515">
        <f t="shared" si="61"/>
        <v>0</v>
      </c>
      <c r="BO161" s="515">
        <f t="shared" si="61"/>
        <v>0</v>
      </c>
      <c r="BP161" s="515">
        <f t="shared" si="61"/>
        <v>0</v>
      </c>
      <c r="BQ161" s="515">
        <f t="shared" si="61"/>
        <v>0</v>
      </c>
      <c r="BR161" s="515">
        <f t="shared" si="61"/>
        <v>0</v>
      </c>
      <c r="BS161" s="515">
        <f t="shared" si="61"/>
        <v>0</v>
      </c>
      <c r="BT161" s="515">
        <f t="shared" si="61"/>
        <v>0</v>
      </c>
      <c r="BU161" s="515">
        <f t="shared" si="61"/>
        <v>0</v>
      </c>
      <c r="BV161" s="515">
        <f t="shared" si="61"/>
        <v>0</v>
      </c>
      <c r="BW161" s="515">
        <f t="shared" si="61"/>
        <v>0</v>
      </c>
      <c r="BX161" s="515">
        <f t="shared" si="61"/>
        <v>0</v>
      </c>
      <c r="BY161" s="336"/>
      <c r="BZ161" s="336"/>
      <c r="CA161" s="268"/>
      <c r="CB161" s="268"/>
      <c r="CC161" s="268"/>
      <c r="CD161" s="268"/>
      <c r="CE161" s="268"/>
      <c r="CF161" s="268"/>
      <c r="CG161" s="268"/>
      <c r="CH161" s="268"/>
      <c r="CI161" s="268"/>
      <c r="CJ161" s="268"/>
      <c r="CK161" s="268"/>
      <c r="CL161" s="268"/>
      <c r="CM161" s="268"/>
      <c r="CN161" s="268"/>
      <c r="CO161" s="268"/>
      <c r="CP161" s="268"/>
      <c r="CQ161" s="268"/>
      <c r="CR161" s="268"/>
      <c r="CS161" s="268"/>
      <c r="CT161" s="268"/>
      <c r="CU161" s="268"/>
      <c r="CV161" s="268"/>
      <c r="CW161" s="268"/>
      <c r="CX161" s="268"/>
      <c r="CY161" s="268"/>
      <c r="CZ161" s="268"/>
      <c r="DA161" s="268"/>
      <c r="DB161" s="268"/>
      <c r="DC161" s="268"/>
      <c r="DD161" s="268"/>
      <c r="DE161" s="268"/>
      <c r="DF161" s="268"/>
      <c r="DG161" s="268"/>
      <c r="DH161" s="268"/>
      <c r="DI161" s="268"/>
      <c r="DJ161" s="268"/>
      <c r="DK161" s="268"/>
      <c r="DL161" s="268"/>
      <c r="DM161" s="268"/>
      <c r="DN161" s="268"/>
      <c r="DO161" s="268"/>
      <c r="DP161" s="268"/>
      <c r="DQ161" s="268"/>
      <c r="DR161" s="268"/>
      <c r="DS161" s="268"/>
      <c r="DT161" s="268"/>
      <c r="DU161" s="268"/>
      <c r="DV161" s="268"/>
      <c r="DW161" s="268"/>
      <c r="DX161" s="268"/>
      <c r="DY161" s="268"/>
      <c r="DZ161" s="268"/>
      <c r="EA161" s="268"/>
      <c r="EB161" s="268"/>
      <c r="EC161" s="268"/>
      <c r="ED161" s="268"/>
      <c r="EE161" s="268"/>
      <c r="EF161" s="268"/>
      <c r="EG161" s="268"/>
      <c r="EH161" s="268"/>
    </row>
    <row r="162" spans="1:138">
      <c r="A162" s="268"/>
      <c r="B162" s="342"/>
      <c r="C162" s="339" t="s">
        <v>334</v>
      </c>
      <c r="D162" s="520"/>
      <c r="E162" s="515"/>
      <c r="F162" s="515"/>
      <c r="G162" s="515"/>
      <c r="H162" s="515"/>
      <c r="I162" s="515"/>
      <c r="J162" s="515"/>
      <c r="K162" s="515"/>
      <c r="L162" s="515"/>
      <c r="M162" s="515"/>
      <c r="N162" s="515"/>
      <c r="O162" s="515"/>
      <c r="P162" s="515"/>
      <c r="Q162" s="515"/>
      <c r="R162" s="515"/>
      <c r="S162" s="515"/>
      <c r="T162" s="515"/>
      <c r="U162" s="515"/>
      <c r="V162" s="515"/>
      <c r="W162" s="515"/>
      <c r="X162" s="515"/>
      <c r="Y162" s="515"/>
      <c r="Z162" s="515"/>
      <c r="AA162" s="515"/>
      <c r="AB162" s="515"/>
      <c r="AC162" s="515"/>
      <c r="AD162" s="515"/>
      <c r="AE162" s="515"/>
      <c r="AF162" s="515"/>
      <c r="AG162" s="515"/>
      <c r="AH162" s="515"/>
      <c r="AI162" s="515"/>
      <c r="AJ162" s="515"/>
      <c r="AK162" s="515"/>
      <c r="AL162" s="515"/>
      <c r="AM162" s="515"/>
      <c r="AN162" s="515"/>
      <c r="AO162" s="515"/>
      <c r="AP162" s="515"/>
      <c r="AQ162" s="515"/>
      <c r="AR162" s="515"/>
      <c r="AS162" s="515"/>
      <c r="AT162" s="515"/>
      <c r="AU162" s="515"/>
      <c r="AV162" s="515"/>
      <c r="AW162" s="515"/>
      <c r="AX162" s="515"/>
      <c r="AY162" s="515"/>
      <c r="AZ162" s="515"/>
      <c r="BA162" s="515"/>
      <c r="BB162" s="515"/>
      <c r="BC162" s="516"/>
      <c r="BD162" s="515"/>
      <c r="BE162" s="515"/>
      <c r="BF162" s="515"/>
      <c r="BG162" s="515"/>
      <c r="BH162" s="515"/>
      <c r="BI162" s="515"/>
      <c r="BJ162" s="515"/>
      <c r="BK162" s="515"/>
      <c r="BL162" s="515"/>
      <c r="BM162" s="515"/>
      <c r="BN162" s="515"/>
      <c r="BO162" s="515"/>
      <c r="BP162" s="515"/>
      <c r="BQ162" s="515"/>
      <c r="BR162" s="515"/>
      <c r="BS162" s="515"/>
      <c r="BT162" s="515"/>
      <c r="BU162" s="515"/>
      <c r="BV162" s="515"/>
      <c r="BW162" s="515"/>
      <c r="BX162" s="515" t="e">
        <f>IF(D104&gt;0.25,(BX99-BX107)*D163,BX99*D163)</f>
        <v>#VALUE!</v>
      </c>
      <c r="BY162" s="336"/>
      <c r="BZ162" s="336"/>
      <c r="CA162" s="268"/>
      <c r="CB162" s="268"/>
      <c r="CC162" s="268"/>
      <c r="CD162" s="268"/>
      <c r="CE162" s="268"/>
      <c r="CF162" s="268"/>
      <c r="CG162" s="268"/>
      <c r="CH162" s="268"/>
      <c r="CI162" s="268"/>
      <c r="CJ162" s="268"/>
      <c r="CK162" s="268"/>
      <c r="CL162" s="268"/>
      <c r="CM162" s="268"/>
      <c r="CN162" s="268"/>
      <c r="CO162" s="268"/>
      <c r="CP162" s="268"/>
      <c r="CQ162" s="268"/>
      <c r="CR162" s="268"/>
      <c r="CS162" s="268"/>
      <c r="CT162" s="268"/>
      <c r="CU162" s="268"/>
      <c r="CV162" s="268"/>
      <c r="CW162" s="268"/>
      <c r="CX162" s="268"/>
      <c r="CY162" s="268"/>
      <c r="CZ162" s="268"/>
      <c r="DA162" s="268"/>
      <c r="DB162" s="268"/>
      <c r="DC162" s="268"/>
      <c r="DD162" s="268"/>
      <c r="DE162" s="268"/>
      <c r="DF162" s="268"/>
      <c r="DG162" s="268"/>
      <c r="DH162" s="268"/>
      <c r="DI162" s="268"/>
      <c r="DJ162" s="268"/>
      <c r="DK162" s="268"/>
      <c r="DL162" s="268"/>
      <c r="DM162" s="268"/>
      <c r="DN162" s="268"/>
      <c r="DO162" s="268"/>
      <c r="DP162" s="268"/>
      <c r="DQ162" s="268"/>
      <c r="DR162" s="268"/>
      <c r="DS162" s="268"/>
      <c r="DT162" s="268"/>
      <c r="DU162" s="268"/>
      <c r="DV162" s="268"/>
      <c r="DW162" s="268"/>
      <c r="DX162" s="268"/>
      <c r="DY162" s="268"/>
      <c r="DZ162" s="268"/>
      <c r="EA162" s="268"/>
      <c r="EB162" s="268"/>
      <c r="EC162" s="268"/>
      <c r="ED162" s="268"/>
      <c r="EE162" s="268"/>
      <c r="EF162" s="268"/>
      <c r="EG162" s="268"/>
      <c r="EH162" s="268"/>
    </row>
    <row r="163" spans="1:138">
      <c r="A163" s="268"/>
      <c r="B163" s="342"/>
      <c r="C163" s="517" t="s">
        <v>335</v>
      </c>
      <c r="D163" s="520">
        <v>0</v>
      </c>
      <c r="E163" s="515"/>
      <c r="F163" s="515"/>
      <c r="G163" s="515"/>
      <c r="H163" s="515"/>
      <c r="I163" s="515"/>
      <c r="J163" s="515"/>
      <c r="K163" s="515"/>
      <c r="L163" s="515"/>
      <c r="M163" s="515"/>
      <c r="N163" s="515"/>
      <c r="O163" s="515"/>
      <c r="P163" s="515"/>
      <c r="Q163" s="515"/>
      <c r="R163" s="515"/>
      <c r="S163" s="515"/>
      <c r="T163" s="515"/>
      <c r="U163" s="515"/>
      <c r="V163" s="515"/>
      <c r="W163" s="515"/>
      <c r="X163" s="515"/>
      <c r="Y163" s="515"/>
      <c r="Z163" s="515"/>
      <c r="AA163" s="515"/>
      <c r="AB163" s="515"/>
      <c r="AC163" s="515"/>
      <c r="AD163" s="515"/>
      <c r="AE163" s="515"/>
      <c r="AF163" s="515"/>
      <c r="AG163" s="515"/>
      <c r="AH163" s="515"/>
      <c r="AI163" s="515"/>
      <c r="AJ163" s="515"/>
      <c r="AK163" s="515"/>
      <c r="AL163" s="515"/>
      <c r="AM163" s="515"/>
      <c r="AN163" s="515"/>
      <c r="AO163" s="515"/>
      <c r="AP163" s="515"/>
      <c r="AQ163" s="515"/>
      <c r="AR163" s="515"/>
      <c r="AS163" s="515"/>
      <c r="AT163" s="515"/>
      <c r="AU163" s="515"/>
      <c r="AV163" s="515"/>
      <c r="AW163" s="515"/>
      <c r="AX163" s="515"/>
      <c r="AY163" s="515"/>
      <c r="AZ163" s="515"/>
      <c r="BA163" s="515"/>
      <c r="BB163" s="515"/>
      <c r="BC163" s="516"/>
      <c r="BD163" s="515"/>
      <c r="BE163" s="515"/>
      <c r="BF163" s="515"/>
      <c r="BG163" s="515"/>
      <c r="BH163" s="515"/>
      <c r="BI163" s="515"/>
      <c r="BJ163" s="515"/>
      <c r="BK163" s="515"/>
      <c r="BL163" s="515"/>
      <c r="BM163" s="515"/>
      <c r="BN163" s="515"/>
      <c r="BO163" s="515"/>
      <c r="BP163" s="515"/>
      <c r="BQ163" s="515"/>
      <c r="BR163" s="515"/>
      <c r="BS163" s="515"/>
      <c r="BT163" s="515"/>
      <c r="BU163" s="515"/>
      <c r="BV163" s="515"/>
      <c r="BW163" s="515"/>
      <c r="BX163" s="515"/>
      <c r="BY163" s="336"/>
      <c r="BZ163" s="336"/>
      <c r="CA163" s="268"/>
      <c r="CB163" s="268"/>
      <c r="CC163" s="268"/>
      <c r="CD163" s="268"/>
      <c r="CE163" s="268"/>
      <c r="CF163" s="268"/>
      <c r="CG163" s="268"/>
      <c r="CH163" s="268"/>
      <c r="CI163" s="268"/>
      <c r="CJ163" s="268"/>
      <c r="CK163" s="268"/>
      <c r="CL163" s="268"/>
      <c r="CM163" s="268"/>
      <c r="CN163" s="268"/>
      <c r="CO163" s="268"/>
      <c r="CP163" s="268"/>
      <c r="CQ163" s="268"/>
      <c r="CR163" s="268"/>
      <c r="CS163" s="268"/>
      <c r="CT163" s="268"/>
      <c r="CU163" s="268"/>
      <c r="CV163" s="268"/>
      <c r="CW163" s="268"/>
      <c r="CX163" s="268"/>
      <c r="CY163" s="268"/>
      <c r="CZ163" s="268"/>
      <c r="DA163" s="268"/>
      <c r="DB163" s="268"/>
      <c r="DC163" s="268"/>
      <c r="DD163" s="268"/>
      <c r="DE163" s="268"/>
      <c r="DF163" s="268"/>
      <c r="DG163" s="268"/>
      <c r="DH163" s="268"/>
      <c r="DI163" s="268"/>
      <c r="DJ163" s="268"/>
      <c r="DK163" s="268"/>
      <c r="DL163" s="268"/>
      <c r="DM163" s="268"/>
      <c r="DN163" s="268"/>
      <c r="DO163" s="268"/>
      <c r="DP163" s="268"/>
      <c r="DQ163" s="268"/>
      <c r="DR163" s="268"/>
      <c r="DS163" s="268"/>
      <c r="DT163" s="268"/>
      <c r="DU163" s="268"/>
      <c r="DV163" s="268"/>
      <c r="DW163" s="268"/>
      <c r="DX163" s="268"/>
      <c r="DY163" s="268"/>
      <c r="DZ163" s="268"/>
      <c r="EA163" s="268"/>
      <c r="EB163" s="268"/>
      <c r="EC163" s="268"/>
      <c r="ED163" s="268"/>
      <c r="EE163" s="268"/>
      <c r="EF163" s="268"/>
      <c r="EG163" s="268"/>
      <c r="EH163" s="268"/>
    </row>
    <row r="164" spans="1:138">
      <c r="A164" s="268"/>
      <c r="B164" s="342"/>
      <c r="C164" s="339" t="s">
        <v>336</v>
      </c>
      <c r="D164" s="515"/>
      <c r="E164" s="521">
        <f t="shared" ref="E164:BX164" si="62">E159+E160+E161+E162+E163</f>
        <v>0</v>
      </c>
      <c r="F164" s="521">
        <f t="shared" si="62"/>
        <v>0</v>
      </c>
      <c r="G164" s="521">
        <f t="shared" si="62"/>
        <v>0</v>
      </c>
      <c r="H164" s="521">
        <f t="shared" si="62"/>
        <v>0</v>
      </c>
      <c r="I164" s="521">
        <f t="shared" si="62"/>
        <v>0</v>
      </c>
      <c r="J164" s="521">
        <f t="shared" si="62"/>
        <v>0</v>
      </c>
      <c r="K164" s="521">
        <f t="shared" si="62"/>
        <v>0</v>
      </c>
      <c r="L164" s="521">
        <f t="shared" si="62"/>
        <v>0</v>
      </c>
      <c r="M164" s="521">
        <f t="shared" si="62"/>
        <v>0</v>
      </c>
      <c r="N164" s="521">
        <f t="shared" si="62"/>
        <v>0</v>
      </c>
      <c r="O164" s="521">
        <f t="shared" si="62"/>
        <v>0</v>
      </c>
      <c r="P164" s="521">
        <f t="shared" si="62"/>
        <v>0</v>
      </c>
      <c r="Q164" s="521">
        <f t="shared" si="62"/>
        <v>0</v>
      </c>
      <c r="R164" s="521">
        <f t="shared" si="62"/>
        <v>0</v>
      </c>
      <c r="S164" s="521">
        <f t="shared" si="62"/>
        <v>0</v>
      </c>
      <c r="T164" s="521">
        <f t="shared" si="62"/>
        <v>0</v>
      </c>
      <c r="U164" s="521">
        <f t="shared" si="62"/>
        <v>0</v>
      </c>
      <c r="V164" s="521">
        <f t="shared" si="62"/>
        <v>0</v>
      </c>
      <c r="W164" s="521">
        <f t="shared" si="62"/>
        <v>0</v>
      </c>
      <c r="X164" s="521">
        <f t="shared" si="62"/>
        <v>0</v>
      </c>
      <c r="Y164" s="521">
        <f t="shared" si="62"/>
        <v>0</v>
      </c>
      <c r="Z164" s="521">
        <f t="shared" si="62"/>
        <v>0</v>
      </c>
      <c r="AA164" s="521">
        <f t="shared" si="62"/>
        <v>0</v>
      </c>
      <c r="AB164" s="521">
        <f t="shared" si="62"/>
        <v>0</v>
      </c>
      <c r="AC164" s="521">
        <f t="shared" si="62"/>
        <v>0</v>
      </c>
      <c r="AD164" s="521">
        <f t="shared" si="62"/>
        <v>0</v>
      </c>
      <c r="AE164" s="521">
        <f t="shared" si="62"/>
        <v>0</v>
      </c>
      <c r="AF164" s="521">
        <f t="shared" si="62"/>
        <v>0</v>
      </c>
      <c r="AG164" s="521">
        <f t="shared" si="62"/>
        <v>0</v>
      </c>
      <c r="AH164" s="521">
        <f t="shared" si="62"/>
        <v>0</v>
      </c>
      <c r="AI164" s="521">
        <f t="shared" si="62"/>
        <v>0</v>
      </c>
      <c r="AJ164" s="521">
        <f t="shared" si="62"/>
        <v>0</v>
      </c>
      <c r="AK164" s="521">
        <f t="shared" si="62"/>
        <v>0</v>
      </c>
      <c r="AL164" s="521">
        <f t="shared" si="62"/>
        <v>0</v>
      </c>
      <c r="AM164" s="521">
        <f t="shared" si="62"/>
        <v>0</v>
      </c>
      <c r="AN164" s="521">
        <f t="shared" si="62"/>
        <v>0</v>
      </c>
      <c r="AO164" s="521">
        <f t="shared" si="62"/>
        <v>0</v>
      </c>
      <c r="AP164" s="521">
        <f t="shared" si="62"/>
        <v>0</v>
      </c>
      <c r="AQ164" s="521">
        <f t="shared" si="62"/>
        <v>0</v>
      </c>
      <c r="AR164" s="521">
        <f t="shared" si="62"/>
        <v>0</v>
      </c>
      <c r="AS164" s="521">
        <f t="shared" si="62"/>
        <v>0</v>
      </c>
      <c r="AT164" s="521">
        <f t="shared" si="62"/>
        <v>0</v>
      </c>
      <c r="AU164" s="521">
        <f t="shared" si="62"/>
        <v>0</v>
      </c>
      <c r="AV164" s="521">
        <f t="shared" si="62"/>
        <v>0</v>
      </c>
      <c r="AW164" s="521">
        <f t="shared" si="62"/>
        <v>0</v>
      </c>
      <c r="AX164" s="521">
        <f t="shared" si="62"/>
        <v>0</v>
      </c>
      <c r="AY164" s="521">
        <f t="shared" si="62"/>
        <v>0</v>
      </c>
      <c r="AZ164" s="521">
        <f t="shared" si="62"/>
        <v>0</v>
      </c>
      <c r="BA164" s="521">
        <f t="shared" si="62"/>
        <v>0</v>
      </c>
      <c r="BB164" s="521">
        <f t="shared" si="62"/>
        <v>0</v>
      </c>
      <c r="BC164" s="521">
        <f t="shared" si="62"/>
        <v>0</v>
      </c>
      <c r="BD164" s="521">
        <f t="shared" si="62"/>
        <v>0</v>
      </c>
      <c r="BE164" s="521">
        <f t="shared" si="62"/>
        <v>0</v>
      </c>
      <c r="BF164" s="521">
        <f t="shared" si="62"/>
        <v>0</v>
      </c>
      <c r="BG164" s="521">
        <f t="shared" si="62"/>
        <v>0</v>
      </c>
      <c r="BH164" s="521">
        <f t="shared" si="62"/>
        <v>0</v>
      </c>
      <c r="BI164" s="521">
        <f t="shared" si="62"/>
        <v>0</v>
      </c>
      <c r="BJ164" s="521">
        <f t="shared" si="62"/>
        <v>0</v>
      </c>
      <c r="BK164" s="521">
        <f t="shared" si="62"/>
        <v>0</v>
      </c>
      <c r="BL164" s="521">
        <f t="shared" si="62"/>
        <v>0</v>
      </c>
      <c r="BM164" s="521">
        <f t="shared" si="62"/>
        <v>0</v>
      </c>
      <c r="BN164" s="521">
        <f t="shared" si="62"/>
        <v>0</v>
      </c>
      <c r="BO164" s="521">
        <f t="shared" si="62"/>
        <v>0</v>
      </c>
      <c r="BP164" s="521">
        <f t="shared" si="62"/>
        <v>0</v>
      </c>
      <c r="BQ164" s="521">
        <f t="shared" si="62"/>
        <v>0</v>
      </c>
      <c r="BR164" s="521">
        <f t="shared" si="62"/>
        <v>0</v>
      </c>
      <c r="BS164" s="521">
        <f t="shared" si="62"/>
        <v>0</v>
      </c>
      <c r="BT164" s="521">
        <f t="shared" si="62"/>
        <v>0</v>
      </c>
      <c r="BU164" s="521">
        <f t="shared" si="62"/>
        <v>0</v>
      </c>
      <c r="BV164" s="521">
        <f t="shared" si="62"/>
        <v>0</v>
      </c>
      <c r="BW164" s="521">
        <f t="shared" si="62"/>
        <v>0</v>
      </c>
      <c r="BX164" s="521" t="e">
        <f t="shared" si="62"/>
        <v>#VALUE!</v>
      </c>
      <c r="BY164" s="268"/>
      <c r="BZ164" s="268"/>
      <c r="CA164" s="268"/>
      <c r="CB164" s="268"/>
      <c r="CC164" s="268"/>
      <c r="CD164" s="268"/>
      <c r="CE164" s="268"/>
      <c r="CF164" s="268"/>
      <c r="CG164" s="268"/>
      <c r="CH164" s="268"/>
      <c r="CI164" s="268"/>
      <c r="CJ164" s="268"/>
      <c r="CK164" s="268"/>
      <c r="CL164" s="268"/>
      <c r="CM164" s="268"/>
      <c r="CN164" s="268"/>
      <c r="CO164" s="268"/>
      <c r="CP164" s="268"/>
      <c r="CQ164" s="268"/>
      <c r="CR164" s="268"/>
      <c r="CS164" s="268"/>
      <c r="CT164" s="268"/>
      <c r="CU164" s="268"/>
      <c r="CV164" s="268"/>
      <c r="CW164" s="268"/>
      <c r="CX164" s="268"/>
      <c r="CY164" s="268"/>
      <c r="CZ164" s="268"/>
      <c r="DA164" s="268"/>
      <c r="DB164" s="268"/>
      <c r="DC164" s="268"/>
      <c r="DD164" s="268"/>
      <c r="DE164" s="268"/>
      <c r="DF164" s="268"/>
      <c r="DG164" s="268"/>
      <c r="DH164" s="268"/>
      <c r="DI164" s="268"/>
      <c r="DJ164" s="268"/>
      <c r="DK164" s="268"/>
      <c r="DL164" s="268"/>
      <c r="DM164" s="268"/>
      <c r="DN164" s="268"/>
      <c r="DO164" s="268"/>
      <c r="DP164" s="268"/>
      <c r="DQ164" s="268"/>
      <c r="DR164" s="268"/>
      <c r="DS164" s="268"/>
      <c r="DT164" s="268"/>
      <c r="DU164" s="268"/>
      <c r="DV164" s="268"/>
      <c r="DW164" s="268"/>
      <c r="DX164" s="268"/>
      <c r="DY164" s="268"/>
      <c r="DZ164" s="268"/>
      <c r="EA164" s="268"/>
      <c r="EB164" s="268"/>
      <c r="EC164" s="268"/>
      <c r="ED164" s="268"/>
      <c r="EE164" s="268"/>
      <c r="EF164" s="268"/>
      <c r="EG164" s="268"/>
      <c r="EH164" s="268"/>
    </row>
    <row r="165" spans="1:138">
      <c r="A165" s="268"/>
      <c r="B165" s="342"/>
      <c r="C165" s="340"/>
      <c r="D165" s="522" t="s">
        <v>343</v>
      </c>
      <c r="E165" s="526">
        <f>E164</f>
        <v>0</v>
      </c>
      <c r="F165" s="526">
        <f t="shared" ref="F165:BX165" si="63">E165+F164</f>
        <v>0</v>
      </c>
      <c r="G165" s="526">
        <f t="shared" si="63"/>
        <v>0</v>
      </c>
      <c r="H165" s="526">
        <f t="shared" si="63"/>
        <v>0</v>
      </c>
      <c r="I165" s="526">
        <f t="shared" si="63"/>
        <v>0</v>
      </c>
      <c r="J165" s="526">
        <f t="shared" si="63"/>
        <v>0</v>
      </c>
      <c r="K165" s="526">
        <f t="shared" si="63"/>
        <v>0</v>
      </c>
      <c r="L165" s="526">
        <f t="shared" si="63"/>
        <v>0</v>
      </c>
      <c r="M165" s="526">
        <f t="shared" si="63"/>
        <v>0</v>
      </c>
      <c r="N165" s="526">
        <f t="shared" si="63"/>
        <v>0</v>
      </c>
      <c r="O165" s="526">
        <f t="shared" si="63"/>
        <v>0</v>
      </c>
      <c r="P165" s="526">
        <f t="shared" si="63"/>
        <v>0</v>
      </c>
      <c r="Q165" s="526">
        <f t="shared" si="63"/>
        <v>0</v>
      </c>
      <c r="R165" s="526">
        <f t="shared" si="63"/>
        <v>0</v>
      </c>
      <c r="S165" s="526">
        <f t="shared" si="63"/>
        <v>0</v>
      </c>
      <c r="T165" s="526">
        <f t="shared" si="63"/>
        <v>0</v>
      </c>
      <c r="U165" s="526">
        <f t="shared" si="63"/>
        <v>0</v>
      </c>
      <c r="V165" s="527">
        <f t="shared" si="63"/>
        <v>0</v>
      </c>
      <c r="W165" s="527">
        <f t="shared" si="63"/>
        <v>0</v>
      </c>
      <c r="X165" s="527">
        <f t="shared" si="63"/>
        <v>0</v>
      </c>
      <c r="Y165" s="527">
        <f t="shared" si="63"/>
        <v>0</v>
      </c>
      <c r="Z165" s="527">
        <f t="shared" si="63"/>
        <v>0</v>
      </c>
      <c r="AA165" s="527">
        <f t="shared" si="63"/>
        <v>0</v>
      </c>
      <c r="AB165" s="527">
        <f t="shared" si="63"/>
        <v>0</v>
      </c>
      <c r="AC165" s="527">
        <f t="shared" si="63"/>
        <v>0</v>
      </c>
      <c r="AD165" s="527">
        <f t="shared" si="63"/>
        <v>0</v>
      </c>
      <c r="AE165" s="527">
        <f t="shared" si="63"/>
        <v>0</v>
      </c>
      <c r="AF165" s="527">
        <f t="shared" si="63"/>
        <v>0</v>
      </c>
      <c r="AG165" s="527">
        <f t="shared" si="63"/>
        <v>0</v>
      </c>
      <c r="AH165" s="527">
        <f t="shared" si="63"/>
        <v>0</v>
      </c>
      <c r="AI165" s="527">
        <f t="shared" si="63"/>
        <v>0</v>
      </c>
      <c r="AJ165" s="527">
        <f t="shared" si="63"/>
        <v>0</v>
      </c>
      <c r="AK165" s="527">
        <f t="shared" si="63"/>
        <v>0</v>
      </c>
      <c r="AL165" s="527">
        <f t="shared" si="63"/>
        <v>0</v>
      </c>
      <c r="AM165" s="527">
        <f t="shared" si="63"/>
        <v>0</v>
      </c>
      <c r="AN165" s="527">
        <f t="shared" si="63"/>
        <v>0</v>
      </c>
      <c r="AO165" s="527">
        <f t="shared" si="63"/>
        <v>0</v>
      </c>
      <c r="AP165" s="527">
        <f t="shared" si="63"/>
        <v>0</v>
      </c>
      <c r="AQ165" s="527">
        <f t="shared" si="63"/>
        <v>0</v>
      </c>
      <c r="AR165" s="527">
        <f t="shared" si="63"/>
        <v>0</v>
      </c>
      <c r="AS165" s="527">
        <f t="shared" si="63"/>
        <v>0</v>
      </c>
      <c r="AT165" s="527">
        <f t="shared" si="63"/>
        <v>0</v>
      </c>
      <c r="AU165" s="527">
        <f t="shared" si="63"/>
        <v>0</v>
      </c>
      <c r="AV165" s="527">
        <f t="shared" si="63"/>
        <v>0</v>
      </c>
      <c r="AW165" s="527">
        <f t="shared" si="63"/>
        <v>0</v>
      </c>
      <c r="AX165" s="527">
        <f t="shared" si="63"/>
        <v>0</v>
      </c>
      <c r="AY165" s="527">
        <f t="shared" si="63"/>
        <v>0</v>
      </c>
      <c r="AZ165" s="527">
        <f t="shared" si="63"/>
        <v>0</v>
      </c>
      <c r="BA165" s="527">
        <f t="shared" si="63"/>
        <v>0</v>
      </c>
      <c r="BB165" s="527">
        <f t="shared" si="63"/>
        <v>0</v>
      </c>
      <c r="BC165" s="526">
        <f t="shared" si="63"/>
        <v>0</v>
      </c>
      <c r="BD165" s="526">
        <f t="shared" si="63"/>
        <v>0</v>
      </c>
      <c r="BE165" s="526">
        <f t="shared" si="63"/>
        <v>0</v>
      </c>
      <c r="BF165" s="526">
        <f t="shared" si="63"/>
        <v>0</v>
      </c>
      <c r="BG165" s="526">
        <f t="shared" si="63"/>
        <v>0</v>
      </c>
      <c r="BH165" s="526">
        <f t="shared" si="63"/>
        <v>0</v>
      </c>
      <c r="BI165" s="526">
        <f t="shared" si="63"/>
        <v>0</v>
      </c>
      <c r="BJ165" s="526">
        <f t="shared" si="63"/>
        <v>0</v>
      </c>
      <c r="BK165" s="526">
        <f t="shared" si="63"/>
        <v>0</v>
      </c>
      <c r="BL165" s="526">
        <f t="shared" si="63"/>
        <v>0</v>
      </c>
      <c r="BM165" s="526">
        <f t="shared" si="63"/>
        <v>0</v>
      </c>
      <c r="BN165" s="526">
        <f t="shared" si="63"/>
        <v>0</v>
      </c>
      <c r="BO165" s="526">
        <f t="shared" si="63"/>
        <v>0</v>
      </c>
      <c r="BP165" s="526">
        <f t="shared" si="63"/>
        <v>0</v>
      </c>
      <c r="BQ165" s="526">
        <f t="shared" si="63"/>
        <v>0</v>
      </c>
      <c r="BR165" s="526">
        <f t="shared" si="63"/>
        <v>0</v>
      </c>
      <c r="BS165" s="526">
        <f t="shared" si="63"/>
        <v>0</v>
      </c>
      <c r="BT165" s="526">
        <f t="shared" si="63"/>
        <v>0</v>
      </c>
      <c r="BU165" s="526">
        <f t="shared" si="63"/>
        <v>0</v>
      </c>
      <c r="BV165" s="526">
        <f t="shared" si="63"/>
        <v>0</v>
      </c>
      <c r="BW165" s="526">
        <f t="shared" si="63"/>
        <v>0</v>
      </c>
      <c r="BX165" s="526" t="e">
        <f t="shared" si="63"/>
        <v>#VALUE!</v>
      </c>
      <c r="BY165" s="268"/>
      <c r="BZ165" s="268"/>
      <c r="CA165" s="268"/>
      <c r="CB165" s="268"/>
      <c r="CC165" s="268"/>
      <c r="CD165" s="268"/>
      <c r="CE165" s="268"/>
      <c r="CF165" s="268"/>
      <c r="CG165" s="268"/>
      <c r="CH165" s="268"/>
      <c r="CI165" s="268"/>
      <c r="CJ165" s="268"/>
      <c r="CK165" s="268"/>
      <c r="CL165" s="268"/>
      <c r="CM165" s="268"/>
      <c r="CN165" s="268"/>
      <c r="CO165" s="268"/>
      <c r="CP165" s="268"/>
      <c r="CQ165" s="268"/>
      <c r="CR165" s="268"/>
      <c r="CS165" s="268"/>
      <c r="CT165" s="268"/>
      <c r="CU165" s="268"/>
      <c r="CV165" s="268"/>
      <c r="CW165" s="268"/>
      <c r="CX165" s="268"/>
      <c r="CY165" s="268"/>
      <c r="CZ165" s="268"/>
      <c r="DA165" s="268"/>
      <c r="DB165" s="268"/>
      <c r="DC165" s="268"/>
      <c r="DD165" s="268"/>
      <c r="DE165" s="268"/>
      <c r="DF165" s="268"/>
      <c r="DG165" s="268"/>
      <c r="DH165" s="268"/>
      <c r="DI165" s="268"/>
      <c r="DJ165" s="268"/>
      <c r="DK165" s="268"/>
      <c r="DL165" s="268"/>
      <c r="DM165" s="268"/>
      <c r="DN165" s="268"/>
      <c r="DO165" s="268"/>
      <c r="DP165" s="268"/>
      <c r="DQ165" s="268"/>
      <c r="DR165" s="268"/>
      <c r="DS165" s="268"/>
      <c r="DT165" s="268"/>
      <c r="DU165" s="268"/>
      <c r="DV165" s="268"/>
      <c r="DW165" s="268"/>
      <c r="DX165" s="268"/>
      <c r="DY165" s="268"/>
      <c r="DZ165" s="268"/>
      <c r="EA165" s="268"/>
      <c r="EB165" s="268"/>
      <c r="EC165" s="268"/>
      <c r="ED165" s="268"/>
      <c r="EE165" s="268"/>
      <c r="EF165" s="268"/>
      <c r="EG165" s="268"/>
      <c r="EH165" s="268"/>
    </row>
    <row r="166" spans="1:138">
      <c r="A166" s="268"/>
      <c r="B166" s="342"/>
      <c r="C166" s="517" t="s">
        <v>329</v>
      </c>
      <c r="D166" s="522" t="e">
        <f>IRR(E164:BX164)*12</f>
        <v>#VALUE!</v>
      </c>
      <c r="E166" s="268"/>
      <c r="F166" s="268"/>
      <c r="G166" s="268"/>
      <c r="H166" s="268"/>
      <c r="I166" s="268"/>
      <c r="J166" s="268"/>
      <c r="K166" s="268"/>
      <c r="L166" s="268"/>
      <c r="M166" s="268"/>
      <c r="N166" s="268"/>
      <c r="O166" s="268"/>
      <c r="P166" s="268"/>
      <c r="Q166" s="268"/>
      <c r="R166" s="268"/>
      <c r="S166" s="268"/>
      <c r="T166" s="268"/>
      <c r="U166" s="268"/>
      <c r="V166" s="268"/>
      <c r="W166" s="268"/>
      <c r="X166" s="268"/>
      <c r="Y166" s="268"/>
      <c r="Z166" s="268"/>
      <c r="AA166" s="268"/>
      <c r="AB166" s="268"/>
      <c r="AC166" s="268"/>
      <c r="AD166" s="268"/>
      <c r="AE166" s="268"/>
      <c r="AF166" s="268"/>
      <c r="AG166" s="268"/>
      <c r="AH166" s="268"/>
      <c r="AI166" s="268"/>
      <c r="AJ166" s="268"/>
      <c r="AK166" s="268"/>
      <c r="AL166" s="268"/>
      <c r="AM166" s="268"/>
      <c r="AN166" s="268"/>
      <c r="AO166" s="268"/>
      <c r="AP166" s="268"/>
      <c r="AQ166" s="268"/>
      <c r="AR166" s="268"/>
      <c r="AS166" s="268"/>
      <c r="AT166" s="268"/>
      <c r="AU166" s="268"/>
      <c r="AV166" s="268"/>
      <c r="AW166" s="268"/>
      <c r="AX166" s="268"/>
      <c r="AY166" s="268"/>
      <c r="AZ166" s="268"/>
      <c r="BA166" s="268"/>
      <c r="BB166" s="268"/>
      <c r="BC166" s="268"/>
      <c r="BD166" s="268"/>
      <c r="BE166" s="268"/>
      <c r="BF166" s="268"/>
      <c r="BG166" s="268"/>
      <c r="BH166" s="268"/>
      <c r="BI166" s="268"/>
      <c r="BJ166" s="268"/>
      <c r="BK166" s="268"/>
      <c r="BL166" s="268"/>
      <c r="BM166" s="268"/>
      <c r="BN166" s="268"/>
      <c r="BO166" s="268"/>
      <c r="BP166" s="268"/>
      <c r="BQ166" s="268"/>
      <c r="BR166" s="268"/>
      <c r="BS166" s="268"/>
      <c r="BT166" s="268"/>
      <c r="BU166" s="268"/>
      <c r="BV166" s="268"/>
      <c r="BW166" s="268"/>
      <c r="BX166" s="268"/>
      <c r="BY166" s="268"/>
      <c r="BZ166" s="268"/>
      <c r="CA166" s="268"/>
      <c r="CB166" s="268"/>
      <c r="CC166" s="268"/>
      <c r="CD166" s="268"/>
      <c r="CE166" s="268"/>
      <c r="CF166" s="268"/>
      <c r="CG166" s="268"/>
      <c r="CH166" s="268"/>
      <c r="CI166" s="268"/>
      <c r="CJ166" s="268"/>
      <c r="CK166" s="268"/>
      <c r="CL166" s="268"/>
      <c r="CM166" s="268"/>
      <c r="CN166" s="268"/>
      <c r="CO166" s="268"/>
      <c r="CP166" s="268"/>
      <c r="CQ166" s="268"/>
      <c r="CR166" s="268"/>
      <c r="CS166" s="268"/>
      <c r="CT166" s="268"/>
      <c r="CU166" s="268"/>
      <c r="CV166" s="268"/>
      <c r="CW166" s="268"/>
      <c r="CX166" s="268"/>
      <c r="CY166" s="268"/>
      <c r="CZ166" s="268"/>
      <c r="DA166" s="268"/>
      <c r="DB166" s="268"/>
      <c r="DC166" s="268"/>
      <c r="DD166" s="268"/>
      <c r="DE166" s="268"/>
      <c r="DF166" s="268"/>
      <c r="DG166" s="268"/>
      <c r="DH166" s="268"/>
      <c r="DI166" s="268"/>
      <c r="DJ166" s="268"/>
      <c r="DK166" s="268"/>
      <c r="DL166" s="268"/>
      <c r="DM166" s="268"/>
      <c r="DN166" s="268"/>
      <c r="DO166" s="268"/>
      <c r="DP166" s="268"/>
      <c r="DQ166" s="268"/>
      <c r="DR166" s="268"/>
      <c r="DS166" s="268"/>
      <c r="DT166" s="268"/>
      <c r="DU166" s="268"/>
      <c r="DV166" s="268"/>
      <c r="DW166" s="268"/>
      <c r="DX166" s="268"/>
      <c r="DY166" s="268"/>
      <c r="DZ166" s="268"/>
      <c r="EA166" s="268"/>
      <c r="EB166" s="268"/>
      <c r="EC166" s="268"/>
      <c r="ED166" s="268"/>
      <c r="EE166" s="268"/>
      <c r="EF166" s="268"/>
      <c r="EG166" s="268"/>
      <c r="EH166" s="268"/>
    </row>
    <row r="167" spans="1:138">
      <c r="A167" s="268"/>
      <c r="B167" s="342"/>
      <c r="C167" s="523" t="s">
        <v>337</v>
      </c>
      <c r="D167" s="524">
        <f>-MIN(M165:BL165)-D168</f>
        <v>0</v>
      </c>
      <c r="E167" s="268"/>
      <c r="F167" s="268"/>
      <c r="G167" s="268"/>
      <c r="H167" s="268"/>
      <c r="I167" s="268"/>
      <c r="J167" s="268"/>
      <c r="K167" s="268"/>
      <c r="L167" s="268"/>
      <c r="M167" s="268"/>
      <c r="N167" s="268"/>
      <c r="O167" s="268"/>
      <c r="P167" s="268"/>
      <c r="Q167" s="268"/>
      <c r="R167" s="268"/>
      <c r="S167" s="268"/>
      <c r="T167" s="268"/>
      <c r="U167" s="268"/>
      <c r="V167" s="268"/>
      <c r="W167" s="268"/>
      <c r="X167" s="268"/>
      <c r="Y167" s="268"/>
      <c r="Z167" s="268"/>
      <c r="AA167" s="268"/>
      <c r="AB167" s="268"/>
      <c r="AC167" s="268"/>
      <c r="AD167" s="268"/>
      <c r="AE167" s="268"/>
      <c r="AF167" s="268"/>
      <c r="AG167" s="268"/>
      <c r="AH167" s="268"/>
      <c r="AI167" s="268"/>
      <c r="AJ167" s="268"/>
      <c r="AK167" s="268"/>
      <c r="AL167" s="268"/>
      <c r="AM167" s="268"/>
      <c r="AN167" s="268"/>
      <c r="AO167" s="268"/>
      <c r="AP167" s="268"/>
      <c r="AQ167" s="268"/>
      <c r="AR167" s="268"/>
      <c r="AS167" s="268"/>
      <c r="AT167" s="268"/>
      <c r="AU167" s="268"/>
      <c r="AV167" s="268"/>
      <c r="AW167" s="268"/>
      <c r="AX167" s="268"/>
      <c r="AY167" s="268"/>
      <c r="AZ167" s="268"/>
      <c r="BA167" s="268"/>
      <c r="BB167" s="268"/>
      <c r="BC167" s="268"/>
      <c r="BD167" s="268"/>
      <c r="BE167" s="268"/>
      <c r="BF167" s="268"/>
      <c r="BG167" s="268"/>
      <c r="BH167" s="268"/>
      <c r="BI167" s="268"/>
      <c r="BJ167" s="268"/>
      <c r="BK167" s="268"/>
      <c r="BL167" s="268"/>
      <c r="BM167" s="268"/>
      <c r="BN167" s="268"/>
      <c r="BO167" s="268"/>
      <c r="BP167" s="268"/>
      <c r="BQ167" s="268"/>
      <c r="BR167" s="268"/>
      <c r="BS167" s="268"/>
      <c r="BT167" s="268"/>
      <c r="BU167" s="268"/>
      <c r="BV167" s="268"/>
      <c r="BW167" s="268"/>
      <c r="BX167" s="268"/>
      <c r="BY167" s="268"/>
      <c r="BZ167" s="268"/>
      <c r="CA167" s="268"/>
      <c r="CB167" s="268"/>
      <c r="CC167" s="268"/>
      <c r="CD167" s="268"/>
      <c r="CE167" s="268"/>
      <c r="CF167" s="268"/>
      <c r="CG167" s="268"/>
      <c r="CH167" s="268"/>
      <c r="CI167" s="268"/>
      <c r="CJ167" s="268"/>
      <c r="CK167" s="268"/>
      <c r="CL167" s="268"/>
      <c r="CM167" s="268"/>
      <c r="CN167" s="268"/>
      <c r="CO167" s="268"/>
      <c r="CP167" s="268"/>
      <c r="CQ167" s="268"/>
      <c r="CR167" s="268"/>
      <c r="CS167" s="268"/>
      <c r="CT167" s="268"/>
      <c r="CU167" s="268"/>
      <c r="CV167" s="268"/>
      <c r="CW167" s="268"/>
      <c r="CX167" s="268"/>
      <c r="CY167" s="268"/>
      <c r="CZ167" s="268"/>
      <c r="DA167" s="268"/>
      <c r="DB167" s="268"/>
      <c r="DC167" s="268"/>
      <c r="DD167" s="268"/>
      <c r="DE167" s="268"/>
      <c r="DF167" s="268"/>
      <c r="DG167" s="268"/>
      <c r="DH167" s="268"/>
      <c r="DI167" s="268"/>
      <c r="DJ167" s="268"/>
      <c r="DK167" s="268"/>
      <c r="DL167" s="268"/>
      <c r="DM167" s="268"/>
      <c r="DN167" s="268"/>
      <c r="DO167" s="268"/>
      <c r="DP167" s="268"/>
      <c r="DQ167" s="268"/>
      <c r="DR167" s="268"/>
      <c r="DS167" s="268"/>
      <c r="DT167" s="268"/>
      <c r="DU167" s="268"/>
      <c r="DV167" s="268"/>
      <c r="DW167" s="268"/>
      <c r="DX167" s="268"/>
      <c r="DY167" s="268"/>
      <c r="DZ167" s="268"/>
      <c r="EA167" s="268"/>
      <c r="EB167" s="268"/>
      <c r="EC167" s="268"/>
      <c r="ED167" s="268"/>
      <c r="EE167" s="268"/>
      <c r="EF167" s="268"/>
      <c r="EG167" s="268"/>
      <c r="EH167" s="268"/>
    </row>
    <row r="168" spans="1:138">
      <c r="A168" s="268"/>
      <c r="B168" s="342"/>
      <c r="C168" s="523" t="s">
        <v>344</v>
      </c>
      <c r="D168" s="524">
        <f>-SUM(M163:BB163)</f>
        <v>0</v>
      </c>
      <c r="E168" s="268"/>
      <c r="F168" s="268"/>
      <c r="G168" s="268"/>
      <c r="H168" s="268"/>
      <c r="I168" s="268"/>
      <c r="J168" s="268"/>
      <c r="K168" s="268"/>
      <c r="L168" s="268"/>
      <c r="M168" s="268"/>
      <c r="N168" s="268"/>
      <c r="O168" s="268"/>
      <c r="P168" s="268"/>
      <c r="Q168" s="268"/>
      <c r="R168" s="268"/>
      <c r="S168" s="268"/>
      <c r="T168" s="268"/>
      <c r="U168" s="268"/>
      <c r="V168" s="268"/>
      <c r="W168" s="268"/>
      <c r="X168" s="268"/>
      <c r="Y168" s="268"/>
      <c r="Z168" s="268"/>
      <c r="AA168" s="268"/>
      <c r="AB168" s="268"/>
      <c r="AC168" s="268"/>
      <c r="AD168" s="268"/>
      <c r="AE168" s="268"/>
      <c r="AF168" s="268"/>
      <c r="AG168" s="268"/>
      <c r="AH168" s="268"/>
      <c r="AI168" s="268"/>
      <c r="AJ168" s="268"/>
      <c r="AK168" s="268"/>
      <c r="AL168" s="268"/>
      <c r="AM168" s="268"/>
      <c r="AN168" s="268"/>
      <c r="AO168" s="268"/>
      <c r="AP168" s="268"/>
      <c r="AQ168" s="268"/>
      <c r="AR168" s="268"/>
      <c r="AS168" s="268"/>
      <c r="AT168" s="268"/>
      <c r="AU168" s="268"/>
      <c r="AV168" s="268"/>
      <c r="AW168" s="268"/>
      <c r="AX168" s="268"/>
      <c r="AY168" s="268"/>
      <c r="AZ168" s="268"/>
      <c r="BA168" s="268"/>
      <c r="BB168" s="268"/>
      <c r="BC168" s="268"/>
      <c r="BD168" s="268"/>
      <c r="BE168" s="268"/>
      <c r="BF168" s="268"/>
      <c r="BG168" s="268"/>
      <c r="BH168" s="268"/>
      <c r="BI168" s="268"/>
      <c r="BJ168" s="268"/>
      <c r="BK168" s="268"/>
      <c r="BL168" s="268"/>
      <c r="BM168" s="268"/>
      <c r="BN168" s="268"/>
      <c r="BO168" s="268"/>
      <c r="BP168" s="268"/>
      <c r="BQ168" s="268"/>
      <c r="BR168" s="268"/>
      <c r="BS168" s="268"/>
      <c r="BT168" s="268"/>
      <c r="BU168" s="268"/>
      <c r="BV168" s="268"/>
      <c r="BW168" s="268"/>
      <c r="BX168" s="268"/>
      <c r="BY168" s="268"/>
      <c r="BZ168" s="268"/>
      <c r="CA168" s="268"/>
      <c r="CB168" s="268"/>
      <c r="CC168" s="268"/>
      <c r="CD168" s="268"/>
      <c r="CE168" s="268"/>
      <c r="CF168" s="268"/>
      <c r="CG168" s="268"/>
      <c r="CH168" s="268"/>
      <c r="CI168" s="268"/>
      <c r="CJ168" s="268"/>
      <c r="CK168" s="268"/>
      <c r="CL168" s="268"/>
      <c r="CM168" s="268"/>
      <c r="CN168" s="268"/>
      <c r="CO168" s="268"/>
      <c r="CP168" s="268"/>
      <c r="CQ168" s="268"/>
      <c r="CR168" s="268"/>
      <c r="CS168" s="268"/>
      <c r="CT168" s="268"/>
      <c r="CU168" s="268"/>
      <c r="CV168" s="268"/>
      <c r="CW168" s="268"/>
      <c r="CX168" s="268"/>
      <c r="CY168" s="268"/>
      <c r="CZ168" s="268"/>
      <c r="DA168" s="268"/>
      <c r="DB168" s="268"/>
      <c r="DC168" s="268"/>
      <c r="DD168" s="268"/>
      <c r="DE168" s="268"/>
      <c r="DF168" s="268"/>
      <c r="DG168" s="268"/>
      <c r="DH168" s="268"/>
      <c r="DI168" s="268"/>
      <c r="DJ168" s="268"/>
      <c r="DK168" s="268"/>
      <c r="DL168" s="268"/>
      <c r="DM168" s="268"/>
      <c r="DN168" s="268"/>
      <c r="DO168" s="268"/>
      <c r="DP168" s="268"/>
      <c r="DQ168" s="268"/>
      <c r="DR168" s="268"/>
      <c r="DS168" s="268"/>
      <c r="DT168" s="268"/>
      <c r="DU168" s="268"/>
      <c r="DV168" s="268"/>
      <c r="DW168" s="268"/>
      <c r="DX168" s="268"/>
      <c r="DY168" s="268"/>
      <c r="DZ168" s="268"/>
      <c r="EA168" s="268"/>
      <c r="EB168" s="268"/>
      <c r="EC168" s="268"/>
      <c r="ED168" s="268"/>
      <c r="EE168" s="268"/>
      <c r="EF168" s="268"/>
      <c r="EG168" s="268"/>
      <c r="EH168" s="268"/>
    </row>
    <row r="169" spans="1:138">
      <c r="A169" s="268"/>
      <c r="B169" s="342"/>
      <c r="C169" s="517" t="s">
        <v>338</v>
      </c>
      <c r="D169" s="525">
        <f>D168+D167</f>
        <v>0</v>
      </c>
      <c r="E169" s="268"/>
      <c r="F169" s="268"/>
      <c r="G169" s="268"/>
      <c r="H169" s="268"/>
      <c r="I169" s="268"/>
      <c r="J169" s="268"/>
      <c r="K169" s="268"/>
      <c r="L169" s="268"/>
      <c r="M169" s="268"/>
      <c r="N169" s="268"/>
      <c r="O169" s="268"/>
      <c r="P169" s="268"/>
      <c r="Q169" s="268"/>
      <c r="R169" s="268"/>
      <c r="S169" s="268"/>
      <c r="T169" s="268"/>
      <c r="U169" s="268"/>
      <c r="V169" s="268"/>
      <c r="W169" s="268"/>
      <c r="X169" s="268"/>
      <c r="Y169" s="268"/>
      <c r="Z169" s="268"/>
      <c r="AA169" s="268"/>
      <c r="AB169" s="268"/>
      <c r="AC169" s="268"/>
      <c r="AD169" s="268"/>
      <c r="AE169" s="268"/>
      <c r="AF169" s="268"/>
      <c r="AG169" s="268"/>
      <c r="AH169" s="268"/>
      <c r="AI169" s="268"/>
      <c r="AJ169" s="268"/>
      <c r="AK169" s="268"/>
      <c r="AL169" s="268"/>
      <c r="AM169" s="268"/>
      <c r="AN169" s="268"/>
      <c r="AO169" s="268"/>
      <c r="AP169" s="268"/>
      <c r="AQ169" s="268"/>
      <c r="AR169" s="268"/>
      <c r="AS169" s="268"/>
      <c r="AT169" s="268"/>
      <c r="AU169" s="268"/>
      <c r="AV169" s="268"/>
      <c r="AW169" s="268"/>
      <c r="AX169" s="268"/>
      <c r="AY169" s="268"/>
      <c r="AZ169" s="268"/>
      <c r="BA169" s="268"/>
      <c r="BB169" s="268"/>
      <c r="BC169" s="268"/>
      <c r="BD169" s="268"/>
      <c r="BE169" s="268"/>
      <c r="BF169" s="268"/>
      <c r="BG169" s="268"/>
      <c r="BH169" s="268"/>
      <c r="BI169" s="268"/>
      <c r="BJ169" s="268"/>
      <c r="BK169" s="268"/>
      <c r="BL169" s="268"/>
      <c r="BM169" s="268"/>
      <c r="BN169" s="268"/>
      <c r="BO169" s="268"/>
      <c r="BP169" s="268"/>
      <c r="BQ169" s="268"/>
      <c r="BR169" s="268"/>
      <c r="BS169" s="268"/>
      <c r="BT169" s="268"/>
      <c r="BU169" s="268"/>
      <c r="BV169" s="268"/>
      <c r="BW169" s="268"/>
      <c r="BX169" s="268"/>
      <c r="BY169" s="268"/>
      <c r="BZ169" s="268"/>
      <c r="CA169" s="268"/>
      <c r="CB169" s="268"/>
      <c r="CC169" s="268"/>
      <c r="CD169" s="268"/>
      <c r="CE169" s="268"/>
      <c r="CF169" s="268"/>
      <c r="CG169" s="268"/>
      <c r="CH169" s="268"/>
      <c r="CI169" s="268"/>
      <c r="CJ169" s="268"/>
      <c r="CK169" s="268"/>
      <c r="CL169" s="268"/>
      <c r="CM169" s="268"/>
      <c r="CN169" s="268"/>
      <c r="CO169" s="268"/>
      <c r="CP169" s="268"/>
      <c r="CQ169" s="268"/>
      <c r="CR169" s="268"/>
      <c r="CS169" s="268"/>
      <c r="CT169" s="268"/>
      <c r="CU169" s="268"/>
      <c r="CV169" s="268"/>
      <c r="CW169" s="268"/>
      <c r="CX169" s="268"/>
      <c r="CY169" s="268"/>
      <c r="CZ169" s="268"/>
      <c r="DA169" s="268"/>
      <c r="DB169" s="268"/>
      <c r="DC169" s="268"/>
      <c r="DD169" s="268"/>
      <c r="DE169" s="268"/>
      <c r="DF169" s="268"/>
      <c r="DG169" s="268"/>
      <c r="DH169" s="268"/>
      <c r="DI169" s="268"/>
      <c r="DJ169" s="268"/>
      <c r="DK169" s="268"/>
      <c r="DL169" s="268"/>
      <c r="DM169" s="268"/>
      <c r="DN169" s="268"/>
      <c r="DO169" s="268"/>
      <c r="DP169" s="268"/>
      <c r="DQ169" s="268"/>
      <c r="DR169" s="268"/>
      <c r="DS169" s="268"/>
      <c r="DT169" s="268"/>
      <c r="DU169" s="268"/>
      <c r="DV169" s="268"/>
      <c r="DW169" s="344"/>
      <c r="DX169" s="344"/>
      <c r="DY169" s="344"/>
      <c r="DZ169" s="344"/>
      <c r="EA169" s="344"/>
      <c r="EB169" s="344"/>
      <c r="EC169" s="344"/>
      <c r="ED169" s="344"/>
      <c r="EE169" s="344"/>
      <c r="EF169" s="344"/>
      <c r="EG169" s="344"/>
      <c r="EH169" s="344"/>
    </row>
    <row r="170" spans="1:138">
      <c r="A170" s="268"/>
      <c r="B170" s="342"/>
      <c r="C170" s="517" t="s">
        <v>339</v>
      </c>
      <c r="D170" s="525" t="e">
        <f>BX161+BX162</f>
        <v>#VALUE!</v>
      </c>
      <c r="E170" s="268"/>
      <c r="F170" s="268"/>
      <c r="G170" s="268"/>
      <c r="H170" s="268"/>
      <c r="I170" s="268"/>
      <c r="J170" s="268"/>
      <c r="K170" s="268"/>
      <c r="L170" s="268"/>
      <c r="M170" s="268"/>
      <c r="N170" s="268"/>
      <c r="O170" s="268"/>
      <c r="P170" s="268"/>
      <c r="Q170" s="268"/>
      <c r="R170" s="268"/>
      <c r="S170" s="268"/>
      <c r="T170" s="268"/>
      <c r="U170" s="268"/>
      <c r="V170" s="268"/>
      <c r="W170" s="268"/>
      <c r="X170" s="268"/>
      <c r="Y170" s="268"/>
      <c r="Z170" s="268"/>
      <c r="AA170" s="268"/>
      <c r="AB170" s="268"/>
      <c r="AC170" s="268"/>
      <c r="AD170" s="268"/>
      <c r="AE170" s="268"/>
      <c r="AF170" s="268"/>
      <c r="AG170" s="268"/>
      <c r="AH170" s="268"/>
      <c r="AI170" s="268"/>
      <c r="AJ170" s="268"/>
      <c r="AK170" s="268"/>
      <c r="AL170" s="268"/>
      <c r="AM170" s="268"/>
      <c r="AN170" s="268"/>
      <c r="AO170" s="268"/>
      <c r="AP170" s="268"/>
      <c r="AQ170" s="268"/>
      <c r="AR170" s="268"/>
      <c r="AS170" s="268"/>
      <c r="AT170" s="268"/>
      <c r="AU170" s="268"/>
      <c r="AV170" s="268"/>
      <c r="AW170" s="268"/>
      <c r="AX170" s="268"/>
      <c r="AY170" s="268"/>
      <c r="AZ170" s="268"/>
      <c r="BA170" s="268"/>
      <c r="BB170" s="268"/>
      <c r="BC170" s="268"/>
      <c r="BD170" s="268"/>
      <c r="BE170" s="268"/>
      <c r="BF170" s="268"/>
      <c r="BG170" s="268"/>
      <c r="BH170" s="268"/>
      <c r="BI170" s="268"/>
      <c r="BJ170" s="268"/>
      <c r="BK170" s="268"/>
      <c r="BL170" s="268"/>
      <c r="BM170" s="268"/>
      <c r="BN170" s="268"/>
      <c r="BO170" s="268"/>
      <c r="BP170" s="268"/>
      <c r="BQ170" s="268"/>
      <c r="BR170" s="268"/>
      <c r="BS170" s="268"/>
      <c r="BT170" s="268"/>
      <c r="BU170" s="268"/>
      <c r="BV170" s="268"/>
      <c r="BW170" s="268"/>
      <c r="BX170" s="268"/>
      <c r="BY170" s="268"/>
      <c r="BZ170" s="268"/>
      <c r="CA170" s="268"/>
      <c r="CB170" s="268"/>
      <c r="CC170" s="268"/>
      <c r="CD170" s="268"/>
      <c r="CE170" s="268"/>
      <c r="CF170" s="268"/>
      <c r="CG170" s="268"/>
      <c r="CH170" s="268"/>
      <c r="CI170" s="268"/>
      <c r="CJ170" s="268"/>
      <c r="CK170" s="268"/>
      <c r="CL170" s="268"/>
      <c r="CM170" s="268"/>
      <c r="CN170" s="268"/>
      <c r="CO170" s="268"/>
      <c r="CP170" s="268"/>
      <c r="CQ170" s="268"/>
      <c r="CR170" s="268"/>
      <c r="CS170" s="268"/>
      <c r="CT170" s="268"/>
      <c r="CU170" s="268"/>
      <c r="CV170" s="268"/>
      <c r="CW170" s="268"/>
      <c r="CX170" s="268"/>
      <c r="CY170" s="268"/>
      <c r="CZ170" s="268"/>
      <c r="DA170" s="268"/>
      <c r="DB170" s="268"/>
      <c r="DC170" s="268"/>
      <c r="DD170" s="268"/>
      <c r="DE170" s="268"/>
      <c r="DF170" s="268"/>
      <c r="DG170" s="268"/>
      <c r="DH170" s="268"/>
      <c r="DI170" s="268"/>
      <c r="DJ170" s="268"/>
      <c r="DK170" s="268"/>
      <c r="DL170" s="268"/>
      <c r="DM170" s="268"/>
      <c r="DN170" s="268"/>
      <c r="DO170" s="268"/>
      <c r="DP170" s="268"/>
      <c r="DQ170" s="268"/>
      <c r="DR170" s="268"/>
      <c r="DS170" s="268"/>
      <c r="DT170" s="268"/>
      <c r="DU170" s="268"/>
      <c r="DV170" s="268"/>
      <c r="DW170" s="344"/>
      <c r="DX170" s="344"/>
      <c r="DY170" s="344"/>
      <c r="DZ170" s="344"/>
      <c r="EA170" s="344"/>
      <c r="EB170" s="344"/>
      <c r="EC170" s="344"/>
      <c r="ED170" s="344"/>
      <c r="EE170" s="344"/>
      <c r="EF170" s="344"/>
      <c r="EG170" s="344"/>
      <c r="EH170" s="344"/>
    </row>
    <row r="171" spans="1:138">
      <c r="A171" s="268"/>
      <c r="B171" s="342"/>
      <c r="C171" s="517" t="s">
        <v>340</v>
      </c>
      <c r="D171" s="522" t="e">
        <f>(D170-D168)/D169</f>
        <v>#VALUE!</v>
      </c>
      <c r="E171" s="268"/>
      <c r="F171" s="268"/>
      <c r="G171" s="268"/>
      <c r="H171" s="268"/>
      <c r="I171" s="268"/>
      <c r="J171" s="268"/>
      <c r="K171" s="268"/>
      <c r="L171" s="268"/>
      <c r="M171" s="268"/>
      <c r="N171" s="268"/>
      <c r="O171" s="268"/>
      <c r="P171" s="268"/>
      <c r="Q171" s="268"/>
      <c r="R171" s="268"/>
      <c r="S171" s="268"/>
      <c r="T171" s="268"/>
      <c r="U171" s="268"/>
      <c r="V171" s="268"/>
      <c r="W171" s="268"/>
      <c r="X171" s="268"/>
      <c r="Y171" s="268"/>
      <c r="Z171" s="268"/>
      <c r="AA171" s="268"/>
      <c r="AB171" s="268"/>
      <c r="AC171" s="268"/>
      <c r="AD171" s="268"/>
      <c r="AE171" s="268"/>
      <c r="AF171" s="268"/>
      <c r="AG171" s="268"/>
      <c r="AH171" s="268"/>
      <c r="AI171" s="268"/>
      <c r="AJ171" s="268"/>
      <c r="AK171" s="268"/>
      <c r="AL171" s="268"/>
      <c r="AM171" s="268"/>
      <c r="AN171" s="268"/>
      <c r="AO171" s="268"/>
      <c r="AP171" s="268"/>
      <c r="AQ171" s="268"/>
      <c r="AR171" s="268"/>
      <c r="AS171" s="268"/>
      <c r="AT171" s="268"/>
      <c r="AU171" s="268"/>
      <c r="AV171" s="268"/>
      <c r="AW171" s="268"/>
      <c r="AX171" s="268"/>
      <c r="AY171" s="268"/>
      <c r="AZ171" s="268"/>
      <c r="BA171" s="268"/>
      <c r="BB171" s="268"/>
      <c r="BC171" s="268"/>
      <c r="BD171" s="268"/>
      <c r="BE171" s="268"/>
      <c r="BF171" s="268"/>
      <c r="BG171" s="268"/>
      <c r="BH171" s="268"/>
      <c r="BI171" s="268"/>
      <c r="BJ171" s="268"/>
      <c r="BK171" s="268"/>
      <c r="BL171" s="268"/>
      <c r="BM171" s="268"/>
      <c r="BN171" s="268"/>
      <c r="BO171" s="268"/>
      <c r="BP171" s="268"/>
      <c r="BQ171" s="268"/>
      <c r="BR171" s="268"/>
      <c r="BS171" s="268"/>
      <c r="BT171" s="268"/>
      <c r="BU171" s="268"/>
      <c r="BV171" s="268"/>
      <c r="BW171" s="268"/>
      <c r="BX171" s="268"/>
      <c r="BY171" s="268"/>
      <c r="BZ171" s="268"/>
      <c r="CA171" s="268"/>
      <c r="CB171" s="268"/>
      <c r="CC171" s="268"/>
      <c r="CD171" s="268"/>
      <c r="CE171" s="268"/>
      <c r="CF171" s="268"/>
      <c r="CG171" s="268"/>
      <c r="CH171" s="268"/>
      <c r="CI171" s="268"/>
      <c r="CJ171" s="268"/>
      <c r="CK171" s="268"/>
      <c r="CL171" s="268"/>
      <c r="CM171" s="268"/>
      <c r="CN171" s="268"/>
      <c r="CO171" s="268"/>
      <c r="CP171" s="268"/>
      <c r="CQ171" s="268"/>
      <c r="CR171" s="268"/>
      <c r="CS171" s="268"/>
      <c r="CT171" s="268"/>
      <c r="CU171" s="268"/>
      <c r="CV171" s="268"/>
      <c r="CW171" s="268"/>
      <c r="CX171" s="268"/>
      <c r="CY171" s="268"/>
      <c r="CZ171" s="268"/>
      <c r="DA171" s="268"/>
      <c r="DB171" s="268"/>
      <c r="DC171" s="268"/>
      <c r="DD171" s="268"/>
      <c r="DE171" s="268"/>
      <c r="DF171" s="268"/>
      <c r="DG171" s="268"/>
      <c r="DH171" s="268"/>
      <c r="DI171" s="268"/>
      <c r="DJ171" s="268"/>
      <c r="DK171" s="268"/>
      <c r="DL171" s="268"/>
      <c r="DM171" s="268"/>
      <c r="DN171" s="268"/>
      <c r="DO171" s="268"/>
      <c r="DP171" s="268"/>
      <c r="DQ171" s="268"/>
      <c r="DR171" s="268"/>
      <c r="DS171" s="268"/>
      <c r="DT171" s="268"/>
      <c r="DU171" s="268"/>
      <c r="DV171" s="268"/>
      <c r="DW171" s="344"/>
      <c r="DX171" s="344"/>
      <c r="DY171" s="344"/>
      <c r="DZ171" s="344"/>
      <c r="EA171" s="344"/>
      <c r="EB171" s="344"/>
      <c r="EC171" s="344"/>
      <c r="ED171" s="344"/>
      <c r="EE171" s="344"/>
      <c r="EF171" s="344"/>
      <c r="EG171" s="344"/>
      <c r="EH171" s="344"/>
    </row>
    <row r="172" spans="1:138">
      <c r="A172" s="268"/>
      <c r="B172" s="268"/>
      <c r="C172" s="268"/>
      <c r="D172" s="268"/>
      <c r="E172" s="268"/>
      <c r="F172" s="268"/>
      <c r="G172" s="268"/>
      <c r="H172" s="268"/>
      <c r="I172" s="268"/>
      <c r="J172" s="268"/>
      <c r="K172" s="268"/>
      <c r="L172" s="268"/>
      <c r="M172" s="268"/>
      <c r="N172" s="268"/>
      <c r="O172" s="268"/>
      <c r="P172" s="268"/>
      <c r="Q172" s="268"/>
      <c r="R172" s="268"/>
      <c r="S172" s="268"/>
      <c r="T172" s="268"/>
      <c r="U172" s="268"/>
      <c r="V172" s="268"/>
      <c r="W172" s="268"/>
      <c r="X172" s="268"/>
      <c r="Y172" s="268"/>
      <c r="Z172" s="268"/>
      <c r="AA172" s="268"/>
      <c r="AB172" s="268"/>
      <c r="AC172" s="268"/>
      <c r="AD172" s="268"/>
      <c r="AE172" s="268"/>
      <c r="AF172" s="268"/>
      <c r="AG172" s="268"/>
      <c r="AH172" s="268"/>
      <c r="AI172" s="268"/>
      <c r="AJ172" s="268"/>
      <c r="AK172" s="268"/>
      <c r="AL172" s="268"/>
      <c r="AM172" s="268"/>
      <c r="AN172" s="268"/>
      <c r="AO172" s="268"/>
      <c r="AP172" s="268"/>
      <c r="AQ172" s="268"/>
      <c r="AR172" s="268"/>
      <c r="AS172" s="268"/>
      <c r="AT172" s="268"/>
      <c r="AU172" s="268"/>
      <c r="AV172" s="268"/>
      <c r="AW172" s="268"/>
      <c r="AX172" s="268"/>
      <c r="AY172" s="268"/>
      <c r="AZ172" s="268"/>
      <c r="BA172" s="268"/>
      <c r="BB172" s="268"/>
      <c r="BC172" s="268"/>
      <c r="BD172" s="268"/>
      <c r="BE172" s="268"/>
      <c r="BF172" s="268"/>
      <c r="BG172" s="268"/>
      <c r="BH172" s="268"/>
      <c r="BI172" s="268"/>
      <c r="BJ172" s="268"/>
      <c r="BK172" s="268"/>
      <c r="BL172" s="268"/>
      <c r="BM172" s="268"/>
      <c r="BN172" s="268"/>
      <c r="BO172" s="268"/>
      <c r="BP172" s="268"/>
      <c r="BQ172" s="268"/>
      <c r="BR172" s="268"/>
      <c r="BS172" s="268"/>
      <c r="BT172" s="268"/>
      <c r="BU172" s="268"/>
      <c r="BV172" s="268"/>
      <c r="BW172" s="268"/>
      <c r="BX172" s="268"/>
      <c r="BY172" s="268"/>
      <c r="BZ172" s="268"/>
      <c r="CA172" s="268"/>
      <c r="CB172" s="268"/>
      <c r="CC172" s="268"/>
      <c r="CD172" s="268"/>
      <c r="CE172" s="268"/>
      <c r="CF172" s="268"/>
      <c r="CG172" s="268"/>
      <c r="CH172" s="268"/>
      <c r="CI172" s="268"/>
      <c r="CJ172" s="268"/>
      <c r="CK172" s="268"/>
      <c r="CL172" s="268"/>
      <c r="CM172" s="268"/>
      <c r="CN172" s="268"/>
      <c r="CO172" s="268"/>
      <c r="CP172" s="268"/>
      <c r="CQ172" s="268"/>
      <c r="CR172" s="268"/>
      <c r="CS172" s="268"/>
      <c r="CT172" s="268"/>
      <c r="CU172" s="268"/>
      <c r="CV172" s="268"/>
      <c r="CW172" s="268"/>
      <c r="CX172" s="268"/>
      <c r="CY172" s="268"/>
      <c r="CZ172" s="268"/>
      <c r="DA172" s="268"/>
      <c r="DB172" s="268"/>
      <c r="DC172" s="268"/>
      <c r="DD172" s="268"/>
      <c r="DE172" s="268"/>
      <c r="DF172" s="268"/>
      <c r="DG172" s="268"/>
      <c r="DH172" s="268"/>
      <c r="DI172" s="268"/>
      <c r="DJ172" s="268"/>
      <c r="DK172" s="268"/>
      <c r="DL172" s="268"/>
      <c r="DM172" s="268"/>
      <c r="DN172" s="268"/>
      <c r="DO172" s="268"/>
      <c r="DP172" s="268"/>
      <c r="DQ172" s="268"/>
      <c r="DR172" s="268"/>
      <c r="DS172" s="268"/>
      <c r="DT172" s="268"/>
      <c r="DU172" s="268"/>
      <c r="DV172" s="268"/>
      <c r="DW172" s="344"/>
      <c r="DX172" s="344"/>
      <c r="DY172" s="344"/>
      <c r="DZ172" s="344"/>
      <c r="EA172" s="344"/>
      <c r="EB172" s="344"/>
      <c r="EC172" s="344"/>
      <c r="ED172" s="344"/>
      <c r="EE172" s="344"/>
      <c r="EF172" s="344"/>
      <c r="EG172" s="344"/>
      <c r="EH172" s="344"/>
    </row>
    <row r="173" spans="1:138">
      <c r="A173" s="268"/>
      <c r="B173" s="268"/>
      <c r="C173" s="268"/>
      <c r="D173" s="268"/>
      <c r="E173" s="268"/>
      <c r="F173" s="268"/>
      <c r="G173" s="268"/>
      <c r="H173" s="268"/>
      <c r="I173" s="268"/>
      <c r="J173" s="268"/>
      <c r="K173" s="268"/>
      <c r="L173" s="268"/>
      <c r="M173" s="268"/>
      <c r="N173" s="268"/>
      <c r="O173" s="268"/>
      <c r="P173" s="268"/>
      <c r="Q173" s="268"/>
      <c r="R173" s="268"/>
      <c r="S173" s="268"/>
      <c r="T173" s="268"/>
      <c r="U173" s="268"/>
      <c r="V173" s="268"/>
      <c r="W173" s="268"/>
      <c r="X173" s="268"/>
      <c r="Y173" s="268"/>
      <c r="Z173" s="268"/>
      <c r="AA173" s="268"/>
      <c r="AB173" s="268"/>
      <c r="AC173" s="268"/>
      <c r="AD173" s="268"/>
      <c r="AE173" s="268"/>
      <c r="AF173" s="268"/>
      <c r="AG173" s="268"/>
      <c r="AH173" s="268"/>
      <c r="AI173" s="268"/>
      <c r="AJ173" s="268"/>
      <c r="AK173" s="268"/>
      <c r="AL173" s="268"/>
      <c r="AM173" s="268"/>
      <c r="AN173" s="268"/>
      <c r="AO173" s="268"/>
      <c r="AP173" s="268"/>
      <c r="AQ173" s="268"/>
      <c r="AR173" s="268"/>
      <c r="AS173" s="268"/>
      <c r="AT173" s="268"/>
      <c r="AU173" s="268"/>
      <c r="AV173" s="268"/>
      <c r="AW173" s="268"/>
      <c r="AX173" s="268"/>
      <c r="AY173" s="268"/>
      <c r="AZ173" s="268"/>
      <c r="BA173" s="268"/>
      <c r="BB173" s="268"/>
      <c r="BC173" s="268"/>
      <c r="BD173" s="268"/>
      <c r="BE173" s="268"/>
      <c r="BF173" s="268"/>
      <c r="BG173" s="268"/>
      <c r="BH173" s="268"/>
      <c r="BI173" s="268"/>
      <c r="BJ173" s="268"/>
      <c r="BK173" s="268"/>
      <c r="BL173" s="268"/>
      <c r="BM173" s="268"/>
      <c r="BN173" s="268"/>
      <c r="BO173" s="268"/>
      <c r="BP173" s="268"/>
      <c r="BQ173" s="268"/>
      <c r="BR173" s="268"/>
      <c r="BS173" s="268"/>
      <c r="BT173" s="268"/>
      <c r="BU173" s="268"/>
      <c r="BV173" s="268"/>
      <c r="BW173" s="268"/>
      <c r="BX173" s="268"/>
      <c r="BY173" s="268"/>
      <c r="BZ173" s="268"/>
      <c r="CA173" s="268"/>
      <c r="CB173" s="268"/>
      <c r="CC173" s="268"/>
      <c r="CD173" s="268"/>
      <c r="CE173" s="268"/>
      <c r="CF173" s="268"/>
      <c r="CG173" s="268"/>
      <c r="CH173" s="268"/>
      <c r="CI173" s="268"/>
      <c r="CJ173" s="268"/>
      <c r="CK173" s="268"/>
      <c r="CL173" s="268"/>
      <c r="CM173" s="268"/>
      <c r="CN173" s="268"/>
      <c r="CO173" s="268"/>
      <c r="CP173" s="268"/>
      <c r="CQ173" s="268"/>
      <c r="CR173" s="268"/>
      <c r="CS173" s="268"/>
      <c r="CT173" s="268"/>
      <c r="CU173" s="268"/>
      <c r="CV173" s="268"/>
      <c r="CW173" s="268"/>
      <c r="CX173" s="268"/>
      <c r="CY173" s="268"/>
      <c r="CZ173" s="268"/>
      <c r="DA173" s="268"/>
      <c r="DB173" s="268"/>
      <c r="DC173" s="268"/>
      <c r="DD173" s="268"/>
      <c r="DE173" s="268"/>
      <c r="DF173" s="268"/>
      <c r="DG173" s="268"/>
      <c r="DH173" s="268"/>
      <c r="DI173" s="268"/>
      <c r="DJ173" s="268"/>
      <c r="DK173" s="268"/>
      <c r="DL173" s="268"/>
      <c r="DM173" s="268"/>
      <c r="DN173" s="268"/>
      <c r="DO173" s="268"/>
      <c r="DP173" s="268"/>
      <c r="DQ173" s="268"/>
      <c r="DR173" s="268"/>
      <c r="DS173" s="268"/>
      <c r="DT173" s="268"/>
      <c r="DU173" s="268"/>
      <c r="DV173" s="268"/>
      <c r="DW173" s="344"/>
      <c r="DX173" s="344"/>
      <c r="DY173" s="344"/>
      <c r="DZ173" s="344"/>
      <c r="EA173" s="344"/>
      <c r="EB173" s="344"/>
      <c r="EC173" s="344"/>
      <c r="ED173" s="344"/>
      <c r="EE173" s="344"/>
      <c r="EF173" s="344"/>
      <c r="EG173" s="344"/>
      <c r="EH173" s="344"/>
    </row>
    <row r="179" spans="5:103" ht="14.1">
      <c r="E179" s="345"/>
      <c r="F179" s="345"/>
      <c r="G179" s="345"/>
      <c r="H179" s="345"/>
      <c r="I179" s="345"/>
      <c r="J179" s="345"/>
      <c r="K179" s="345"/>
      <c r="L179" s="345"/>
      <c r="M179" s="345"/>
      <c r="N179" s="345"/>
      <c r="O179" s="345"/>
      <c r="P179" s="345"/>
      <c r="Q179" s="345"/>
      <c r="R179" s="345"/>
      <c r="S179" s="345"/>
      <c r="T179" s="345"/>
      <c r="U179" s="345"/>
      <c r="V179" s="345"/>
      <c r="W179" s="345"/>
      <c r="X179" s="345"/>
      <c r="Y179" s="345"/>
      <c r="Z179" s="345"/>
      <c r="AA179" s="345"/>
      <c r="AB179" s="345"/>
      <c r="AC179" s="345"/>
      <c r="AD179" s="345"/>
      <c r="AE179" s="345"/>
      <c r="AF179" s="345"/>
      <c r="AG179" s="345"/>
      <c r="AH179" s="345"/>
      <c r="AI179" s="345"/>
      <c r="AJ179" s="345"/>
      <c r="AK179" s="345"/>
      <c r="AL179" s="345"/>
      <c r="AM179" s="345"/>
      <c r="AN179" s="345"/>
      <c r="AO179" s="345"/>
      <c r="AP179" s="345"/>
      <c r="AQ179" s="345"/>
      <c r="AR179" s="345"/>
      <c r="AS179" s="345"/>
      <c r="AT179" s="345"/>
      <c r="AU179" s="345"/>
      <c r="AV179" s="345"/>
      <c r="AW179" s="345"/>
      <c r="AX179" s="345"/>
      <c r="AY179" s="345"/>
      <c r="AZ179" s="345"/>
      <c r="BA179" s="345"/>
      <c r="BB179" s="345"/>
      <c r="BC179" s="345"/>
      <c r="BD179" s="345"/>
      <c r="BE179" s="345"/>
      <c r="BF179" s="345"/>
      <c r="BG179" s="345"/>
      <c r="BH179" s="345"/>
      <c r="BI179" s="345"/>
      <c r="BJ179" s="345"/>
      <c r="BK179" s="345"/>
      <c r="BL179" s="345"/>
      <c r="BM179" s="345"/>
      <c r="BN179" s="345"/>
      <c r="BO179" s="345"/>
      <c r="BP179" s="345"/>
      <c r="BQ179" s="345"/>
      <c r="BR179" s="345"/>
      <c r="BS179" s="345"/>
      <c r="BT179" s="345"/>
      <c r="BU179" s="345"/>
      <c r="BV179" s="345"/>
      <c r="BW179" s="345"/>
      <c r="BX179" s="345"/>
      <c r="BY179" s="345"/>
      <c r="BZ179" s="345"/>
      <c r="CA179" s="345"/>
      <c r="CB179" s="345"/>
      <c r="CC179" s="345"/>
      <c r="CD179" s="345"/>
      <c r="CE179" s="345"/>
      <c r="CF179" s="345"/>
      <c r="CG179" s="345"/>
      <c r="CH179" s="345"/>
      <c r="CI179" s="345"/>
      <c r="CJ179" s="345"/>
      <c r="CK179" s="345"/>
      <c r="CL179" s="345"/>
      <c r="CM179" s="345"/>
      <c r="CN179" s="345"/>
      <c r="CO179" s="345"/>
      <c r="CP179" s="345"/>
      <c r="CQ179" s="345"/>
      <c r="CR179" s="345"/>
      <c r="CS179" s="345"/>
      <c r="CT179" s="345"/>
      <c r="CU179" s="345"/>
      <c r="CV179" s="345"/>
      <c r="CW179" s="345"/>
      <c r="CX179" s="345"/>
      <c r="CY179" s="345"/>
    </row>
  </sheetData>
  <mergeCells count="32">
    <mergeCell ref="BA2:BL2"/>
    <mergeCell ref="BY2:BZ4"/>
    <mergeCell ref="BZ12:BZ16"/>
    <mergeCell ref="BZ18:BZ88"/>
    <mergeCell ref="CC18:CC88"/>
    <mergeCell ref="CC5:CC8"/>
    <mergeCell ref="CC9:CC11"/>
    <mergeCell ref="CC12:CC16"/>
    <mergeCell ref="CB17:CC17"/>
    <mergeCell ref="BY89:BZ89"/>
    <mergeCell ref="BZ90:BZ96"/>
    <mergeCell ref="BY97:BZ97"/>
    <mergeCell ref="BY98:BZ98"/>
    <mergeCell ref="BZ5:BZ8"/>
    <mergeCell ref="BZ9:BZ11"/>
    <mergeCell ref="BY17:BZ17"/>
    <mergeCell ref="B98:C98"/>
    <mergeCell ref="B99:C99"/>
    <mergeCell ref="D104:E104"/>
    <mergeCell ref="D107:BW107"/>
    <mergeCell ref="B2:C4"/>
    <mergeCell ref="B5:B8"/>
    <mergeCell ref="B9:B11"/>
    <mergeCell ref="B12:B16"/>
    <mergeCell ref="B17:C17"/>
    <mergeCell ref="B18:B96"/>
    <mergeCell ref="B97:C97"/>
    <mergeCell ref="BM2:BX2"/>
    <mergeCell ref="E2:P2"/>
    <mergeCell ref="Q2:AB2"/>
    <mergeCell ref="AC2:AN2"/>
    <mergeCell ref="AO2:AZ2"/>
  </mergeCells>
  <conditionalFormatting sqref="E18:BX18 E24:BX24 E27:BX27 E35:BX35 E38:BX38 E48:BX48 E54:BX54 E62:BX62 E86:BX86 E89:BX89">
    <cfRule type="cellIs" dxfId="5" priority="1" operator="equal">
      <formula>0</formula>
    </cfRule>
  </conditionalFormatting>
  <conditionalFormatting sqref="F112:BS115 E113 BT113:BX113 E115 BT115:BX115 E126 F126:BX129 E128 E142 M142:BX142 F142:L145 E144 M144:BX144 E161:BX161">
    <cfRule type="cellIs" dxfId="4" priority="2" operator="equal">
      <formula>0</formula>
    </cfRule>
  </conditionalFormatting>
  <dataValidations count="1">
    <dataValidation type="list" allowBlank="1" showErrorMessage="1" sqref="CB4" xr:uid="{00000000-0002-0000-0700-000000000000}">
      <formula1>$D$3:$BX$3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2:T79"/>
  <sheetViews>
    <sheetView topLeftCell="K4" workbookViewId="0">
      <selection activeCell="P38" sqref="P38"/>
    </sheetView>
  </sheetViews>
  <sheetFormatPr defaultColWidth="12.625" defaultRowHeight="15" customHeight="1"/>
  <cols>
    <col min="1" max="10" width="12.625" hidden="1"/>
    <col min="16" max="16" width="15.125" bestFit="1" customWidth="1"/>
  </cols>
  <sheetData>
    <row r="2" spans="2:20" ht="15" customHeight="1">
      <c r="B2" s="589" t="s">
        <v>350</v>
      </c>
      <c r="C2" s="594"/>
      <c r="D2" s="594"/>
      <c r="E2" s="594"/>
      <c r="G2" s="589" t="s">
        <v>351</v>
      </c>
      <c r="H2" s="594"/>
      <c r="I2" s="594"/>
      <c r="J2" s="594"/>
      <c r="L2" s="589" t="s">
        <v>352</v>
      </c>
      <c r="M2" s="594"/>
      <c r="N2" s="594"/>
      <c r="O2" s="594"/>
      <c r="Q2" s="589" t="s">
        <v>353</v>
      </c>
      <c r="R2" s="594"/>
      <c r="S2" s="594"/>
      <c r="T2" s="594"/>
    </row>
    <row r="3" spans="2:20" ht="15" customHeight="1">
      <c r="B3" s="594"/>
      <c r="C3" s="594"/>
      <c r="D3" s="594"/>
      <c r="E3" s="594"/>
      <c r="G3" s="594"/>
      <c r="H3" s="594"/>
      <c r="I3" s="594"/>
      <c r="J3" s="594"/>
      <c r="L3" s="594"/>
      <c r="M3" s="594"/>
      <c r="N3" s="594"/>
      <c r="O3" s="594"/>
      <c r="Q3" s="594"/>
      <c r="R3" s="594"/>
      <c r="S3" s="594"/>
      <c r="T3" s="594"/>
    </row>
    <row r="7" spans="2:20" ht="15" customHeight="1">
      <c r="B7" s="346" t="s">
        <v>354</v>
      </c>
      <c r="C7" s="347" t="s">
        <v>355</v>
      </c>
      <c r="D7" s="348" t="s">
        <v>316</v>
      </c>
      <c r="E7" s="349" t="s">
        <v>356</v>
      </c>
      <c r="G7" s="346" t="s">
        <v>354</v>
      </c>
      <c r="H7" s="347" t="s">
        <v>355</v>
      </c>
      <c r="I7" s="348" t="s">
        <v>316</v>
      </c>
      <c r="J7" s="349" t="s">
        <v>356</v>
      </c>
      <c r="L7" s="346" t="s">
        <v>354</v>
      </c>
      <c r="M7" s="347" t="s">
        <v>355</v>
      </c>
      <c r="N7" s="348" t="s">
        <v>316</v>
      </c>
      <c r="O7" s="349" t="s">
        <v>356</v>
      </c>
      <c r="Q7" s="346" t="s">
        <v>354</v>
      </c>
      <c r="R7" s="347" t="s">
        <v>355</v>
      </c>
      <c r="S7" s="348" t="s">
        <v>316</v>
      </c>
      <c r="T7" s="349" t="s">
        <v>356</v>
      </c>
    </row>
    <row r="8" spans="2:20" ht="15" customHeight="1">
      <c r="B8" s="350">
        <v>45292</v>
      </c>
      <c r="C8" s="351">
        <f t="array" ref="C8:C79">TRANSPOSE('Cash-flow'!E111:BX111)</f>
        <v>0</v>
      </c>
      <c r="D8" s="352">
        <f>0-C8</f>
        <v>0</v>
      </c>
      <c r="E8" s="353">
        <f>D8*'Cash-flow'!$D$55/12</f>
        <v>0</v>
      </c>
      <c r="G8" s="350">
        <v>45292</v>
      </c>
      <c r="H8" s="354">
        <f t="array" ref="H8:H79">TRANSPOSE('Cash-flow'!E126:BX126)</f>
        <v>0</v>
      </c>
      <c r="I8" s="352">
        <f>0-H8</f>
        <v>0</v>
      </c>
      <c r="J8" s="353">
        <f>I8*'Cash-flow'!$D$56/12</f>
        <v>0</v>
      </c>
      <c r="L8" s="350">
        <v>45292</v>
      </c>
      <c r="M8" s="354">
        <f t="array" ref="M8:M79">TRANSPOSE('Cash-flow 6.2025'!E126:BX126)</f>
        <v>0</v>
      </c>
      <c r="N8" s="352">
        <f>0-M8</f>
        <v>0</v>
      </c>
      <c r="O8" s="353">
        <f>N8*'Cash-flow 6.2025'!$D$57/12</f>
        <v>0</v>
      </c>
      <c r="Q8" s="350">
        <v>45292</v>
      </c>
      <c r="R8" s="351">
        <f t="array" ref="R8:R79">TRANSPOSE('Cash-flow'!E159:BX159)</f>
        <v>0</v>
      </c>
      <c r="S8" s="352">
        <f>0-R8</f>
        <v>0</v>
      </c>
      <c r="T8" s="353">
        <f>S8*'Cash-flow 6.2025'!$D$58/12</f>
        <v>0</v>
      </c>
    </row>
    <row r="9" spans="2:20" ht="15" customHeight="1">
      <c r="B9" s="355">
        <v>45323</v>
      </c>
      <c r="C9" s="351">
        <v>0</v>
      </c>
      <c r="D9" s="352">
        <f t="shared" ref="D9:D78" si="0">D8-C9</f>
        <v>0</v>
      </c>
      <c r="E9" s="353">
        <f>D9*'Cash-flow'!$D$55/12</f>
        <v>0</v>
      </c>
      <c r="G9" s="355">
        <v>45323</v>
      </c>
      <c r="H9" s="351">
        <v>0</v>
      </c>
      <c r="I9" s="352">
        <f t="shared" ref="I9:I78" si="1">I8-H9</f>
        <v>0</v>
      </c>
      <c r="J9" s="353">
        <f>I9*'Cash-flow'!$D$56/12</f>
        <v>0</v>
      </c>
      <c r="L9" s="355">
        <v>45323</v>
      </c>
      <c r="M9" s="351">
        <v>0</v>
      </c>
      <c r="N9" s="352">
        <f t="shared" ref="N9:N78" si="2">N8-M9</f>
        <v>0</v>
      </c>
      <c r="O9" s="353">
        <f>N9*'Cash-flow 6.2025'!$D$57/12</f>
        <v>0</v>
      </c>
      <c r="Q9" s="355">
        <v>45323</v>
      </c>
      <c r="R9" s="351">
        <v>0</v>
      </c>
      <c r="S9" s="352">
        <f t="shared" ref="S9:S78" si="3">S8-R9</f>
        <v>0</v>
      </c>
      <c r="T9" s="353">
        <f>S9*'Cash-flow 6.2025'!$D$58/12</f>
        <v>0</v>
      </c>
    </row>
    <row r="10" spans="2:20" ht="15" customHeight="1">
      <c r="B10" s="355">
        <v>45352</v>
      </c>
      <c r="C10" s="351">
        <v>0</v>
      </c>
      <c r="D10" s="352">
        <f t="shared" si="0"/>
        <v>0</v>
      </c>
      <c r="E10" s="353">
        <f>D10*'Cash-flow'!$D$55/12</f>
        <v>0</v>
      </c>
      <c r="G10" s="355">
        <v>45352</v>
      </c>
      <c r="H10" s="351">
        <v>0</v>
      </c>
      <c r="I10" s="352">
        <f t="shared" si="1"/>
        <v>0</v>
      </c>
      <c r="J10" s="353">
        <f>I10*'Cash-flow'!$D$56/12</f>
        <v>0</v>
      </c>
      <c r="L10" s="355">
        <v>45352</v>
      </c>
      <c r="M10" s="351">
        <v>0</v>
      </c>
      <c r="N10" s="352">
        <f t="shared" si="2"/>
        <v>0</v>
      </c>
      <c r="O10" s="353">
        <f>N10*'Cash-flow 6.2025'!$D$57/12</f>
        <v>0</v>
      </c>
      <c r="Q10" s="355">
        <v>45352</v>
      </c>
      <c r="R10" s="351">
        <v>0</v>
      </c>
      <c r="S10" s="352">
        <f t="shared" si="3"/>
        <v>0</v>
      </c>
      <c r="T10" s="353">
        <f>S10*'Cash-flow 6.2025'!$D$58/12</f>
        <v>0</v>
      </c>
    </row>
    <row r="11" spans="2:20" ht="15" customHeight="1">
      <c r="B11" s="355">
        <v>45383</v>
      </c>
      <c r="C11" s="351">
        <v>0</v>
      </c>
      <c r="D11" s="352">
        <f t="shared" si="0"/>
        <v>0</v>
      </c>
      <c r="E11" s="353">
        <f>D11*'Cash-flow'!$D$55/12</f>
        <v>0</v>
      </c>
      <c r="G11" s="355">
        <v>45383</v>
      </c>
      <c r="H11" s="351">
        <v>0</v>
      </c>
      <c r="I11" s="352">
        <f t="shared" si="1"/>
        <v>0</v>
      </c>
      <c r="J11" s="353">
        <f>I11*'Cash-flow'!$D$56/12</f>
        <v>0</v>
      </c>
      <c r="L11" s="355">
        <v>45383</v>
      </c>
      <c r="M11" s="351">
        <v>0</v>
      </c>
      <c r="N11" s="352">
        <f t="shared" si="2"/>
        <v>0</v>
      </c>
      <c r="O11" s="353">
        <f>N11*'Cash-flow 6.2025'!$D$57/12</f>
        <v>0</v>
      </c>
      <c r="Q11" s="355">
        <v>45383</v>
      </c>
      <c r="R11" s="351">
        <v>0</v>
      </c>
      <c r="S11" s="352">
        <f t="shared" si="3"/>
        <v>0</v>
      </c>
      <c r="T11" s="353">
        <f>S11*'Cash-flow 6.2025'!$D$58/12</f>
        <v>0</v>
      </c>
    </row>
    <row r="12" spans="2:20" ht="15" customHeight="1">
      <c r="B12" s="355">
        <v>45413</v>
      </c>
      <c r="C12" s="351">
        <v>0</v>
      </c>
      <c r="D12" s="352">
        <f t="shared" si="0"/>
        <v>0</v>
      </c>
      <c r="E12" s="353">
        <f>D12*'Cash-flow'!$D$55/12</f>
        <v>0</v>
      </c>
      <c r="G12" s="355">
        <v>45413</v>
      </c>
      <c r="H12" s="351">
        <v>0</v>
      </c>
      <c r="I12" s="352">
        <f t="shared" si="1"/>
        <v>0</v>
      </c>
      <c r="J12" s="353">
        <f>I12*'Cash-flow'!$D$56/12</f>
        <v>0</v>
      </c>
      <c r="L12" s="355">
        <v>45413</v>
      </c>
      <c r="M12" s="351">
        <v>0</v>
      </c>
      <c r="N12" s="352">
        <f t="shared" si="2"/>
        <v>0</v>
      </c>
      <c r="O12" s="353">
        <f>N12*'Cash-flow 6.2025'!$D$57/12</f>
        <v>0</v>
      </c>
      <c r="Q12" s="355">
        <v>45413</v>
      </c>
      <c r="R12" s="351">
        <v>0</v>
      </c>
      <c r="S12" s="352">
        <f t="shared" si="3"/>
        <v>0</v>
      </c>
      <c r="T12" s="353">
        <f>S12*'Cash-flow 6.2025'!$D$58/12</f>
        <v>0</v>
      </c>
    </row>
    <row r="13" spans="2:20" ht="15" customHeight="1">
      <c r="B13" s="356">
        <v>45444</v>
      </c>
      <c r="C13" s="351">
        <v>0</v>
      </c>
      <c r="D13" s="352">
        <f t="shared" si="0"/>
        <v>0</v>
      </c>
      <c r="E13" s="353">
        <f>D13*'Cash-flow'!$D$55/12</f>
        <v>0</v>
      </c>
      <c r="G13" s="356">
        <v>45444</v>
      </c>
      <c r="H13" s="351">
        <v>0</v>
      </c>
      <c r="I13" s="352">
        <f t="shared" si="1"/>
        <v>0</v>
      </c>
      <c r="J13" s="353">
        <f>I13*'Cash-flow'!$D$56/12</f>
        <v>0</v>
      </c>
      <c r="L13" s="356">
        <v>45444</v>
      </c>
      <c r="M13" s="351">
        <v>0</v>
      </c>
      <c r="N13" s="352">
        <f t="shared" si="2"/>
        <v>0</v>
      </c>
      <c r="O13" s="353">
        <f>N13*'Cash-flow 6.2025'!$D$57/12</f>
        <v>0</v>
      </c>
      <c r="Q13" s="356">
        <v>45444</v>
      </c>
      <c r="R13" s="351">
        <v>0</v>
      </c>
      <c r="S13" s="352">
        <f t="shared" si="3"/>
        <v>0</v>
      </c>
      <c r="T13" s="353">
        <f>S13*'Cash-flow 6.2025'!$D$58/12</f>
        <v>0</v>
      </c>
    </row>
    <row r="14" spans="2:20" ht="15" customHeight="1">
      <c r="B14" s="355">
        <v>45474</v>
      </c>
      <c r="C14" s="351">
        <v>0</v>
      </c>
      <c r="D14" s="352">
        <f t="shared" si="0"/>
        <v>0</v>
      </c>
      <c r="E14" s="353">
        <f>D14*'Cash-flow'!$D$55/12</f>
        <v>0</v>
      </c>
      <c r="G14" s="355">
        <v>45474</v>
      </c>
      <c r="H14" s="351">
        <v>0</v>
      </c>
      <c r="I14" s="352">
        <f t="shared" si="1"/>
        <v>0</v>
      </c>
      <c r="J14" s="353">
        <f>I14*'Cash-flow'!$D$56/12</f>
        <v>0</v>
      </c>
      <c r="L14" s="355">
        <v>45474</v>
      </c>
      <c r="M14" s="351">
        <v>0</v>
      </c>
      <c r="N14" s="352">
        <f t="shared" si="2"/>
        <v>0</v>
      </c>
      <c r="O14" s="353">
        <f>N14*'Cash-flow 6.2025'!$D$57/12</f>
        <v>0</v>
      </c>
      <c r="Q14" s="355">
        <v>45474</v>
      </c>
      <c r="R14" s="351">
        <v>0</v>
      </c>
      <c r="S14" s="352">
        <f t="shared" si="3"/>
        <v>0</v>
      </c>
      <c r="T14" s="353">
        <f>S14*'Cash-flow 6.2025'!$D$58/12</f>
        <v>0</v>
      </c>
    </row>
    <row r="15" spans="2:20" ht="15" customHeight="1">
      <c r="B15" s="355">
        <v>45505</v>
      </c>
      <c r="C15" s="351">
        <v>0</v>
      </c>
      <c r="D15" s="352">
        <f t="shared" si="0"/>
        <v>0</v>
      </c>
      <c r="E15" s="353">
        <f>D15*'Cash-flow'!$D$55/12</f>
        <v>0</v>
      </c>
      <c r="G15" s="355">
        <v>45505</v>
      </c>
      <c r="H15" s="351">
        <v>0</v>
      </c>
      <c r="I15" s="352">
        <f t="shared" si="1"/>
        <v>0</v>
      </c>
      <c r="J15" s="353">
        <f>I15*'Cash-flow'!$D$56/12</f>
        <v>0</v>
      </c>
      <c r="L15" s="355">
        <v>45505</v>
      </c>
      <c r="M15" s="351">
        <v>0</v>
      </c>
      <c r="N15" s="352">
        <f t="shared" si="2"/>
        <v>0</v>
      </c>
      <c r="O15" s="353">
        <f>N15*'Cash-flow 6.2025'!$D$57/12</f>
        <v>0</v>
      </c>
      <c r="Q15" s="355">
        <v>45505</v>
      </c>
      <c r="R15" s="351">
        <v>0</v>
      </c>
      <c r="S15" s="352">
        <f t="shared" si="3"/>
        <v>0</v>
      </c>
      <c r="T15" s="353">
        <f>S15*'Cash-flow 6.2025'!$D$58/12</f>
        <v>0</v>
      </c>
    </row>
    <row r="16" spans="2:20" ht="15" customHeight="1">
      <c r="B16" s="355">
        <v>45536</v>
      </c>
      <c r="C16" s="351">
        <v>0</v>
      </c>
      <c r="D16" s="352">
        <f t="shared" si="0"/>
        <v>0</v>
      </c>
      <c r="E16" s="353">
        <f>D16*'Cash-flow'!$D$55/12</f>
        <v>0</v>
      </c>
      <c r="G16" s="355">
        <v>45536</v>
      </c>
      <c r="H16" s="351">
        <v>0</v>
      </c>
      <c r="I16" s="352">
        <f t="shared" si="1"/>
        <v>0</v>
      </c>
      <c r="J16" s="353">
        <f>I16*'Cash-flow'!$D$56/12</f>
        <v>0</v>
      </c>
      <c r="L16" s="355">
        <v>45536</v>
      </c>
      <c r="M16" s="351">
        <v>0</v>
      </c>
      <c r="N16" s="352">
        <f t="shared" si="2"/>
        <v>0</v>
      </c>
      <c r="O16" s="353">
        <f>N16*'Cash-flow 6.2025'!$D$57/12</f>
        <v>0</v>
      </c>
      <c r="Q16" s="355">
        <v>45536</v>
      </c>
      <c r="R16" s="351">
        <v>0</v>
      </c>
      <c r="S16" s="352">
        <f t="shared" si="3"/>
        <v>0</v>
      </c>
      <c r="T16" s="353">
        <f>S16*'Cash-flow 6.2025'!$D$58/12</f>
        <v>0</v>
      </c>
    </row>
    <row r="17" spans="2:20" ht="15" customHeight="1">
      <c r="B17" s="355">
        <v>45566</v>
      </c>
      <c r="C17" s="351">
        <v>0</v>
      </c>
      <c r="D17" s="352">
        <f t="shared" si="0"/>
        <v>0</v>
      </c>
      <c r="E17" s="353">
        <f>D17*'Cash-flow'!$D$55/12</f>
        <v>0</v>
      </c>
      <c r="G17" s="355">
        <v>45566</v>
      </c>
      <c r="H17" s="351">
        <v>0</v>
      </c>
      <c r="I17" s="352">
        <f t="shared" si="1"/>
        <v>0</v>
      </c>
      <c r="J17" s="353">
        <f>I17*'Cash-flow'!$D$56/12</f>
        <v>0</v>
      </c>
      <c r="L17" s="355">
        <v>45566</v>
      </c>
      <c r="M17" s="351">
        <v>0</v>
      </c>
      <c r="N17" s="352">
        <f t="shared" si="2"/>
        <v>0</v>
      </c>
      <c r="O17" s="353">
        <f>N17*'Cash-flow 6.2025'!$D$57/12</f>
        <v>0</v>
      </c>
      <c r="Q17" s="355">
        <v>45566</v>
      </c>
      <c r="R17" s="351">
        <v>0</v>
      </c>
      <c r="S17" s="352">
        <f t="shared" si="3"/>
        <v>0</v>
      </c>
      <c r="T17" s="353">
        <f>S17*'Cash-flow 6.2025'!$D$58/12</f>
        <v>0</v>
      </c>
    </row>
    <row r="18" spans="2:20" ht="15" customHeight="1">
      <c r="B18" s="355">
        <v>45597</v>
      </c>
      <c r="C18" s="351">
        <v>0</v>
      </c>
      <c r="D18" s="352">
        <f t="shared" si="0"/>
        <v>0</v>
      </c>
      <c r="E18" s="353">
        <f>D18*'Cash-flow'!$D$55/12</f>
        <v>0</v>
      </c>
      <c r="G18" s="355">
        <v>45597</v>
      </c>
      <c r="H18" s="351">
        <v>0</v>
      </c>
      <c r="I18" s="352">
        <f t="shared" si="1"/>
        <v>0</v>
      </c>
      <c r="J18" s="353">
        <f>I18*'Cash-flow'!$D$56/12</f>
        <v>0</v>
      </c>
      <c r="L18" s="355">
        <v>45597</v>
      </c>
      <c r="M18" s="351">
        <v>0</v>
      </c>
      <c r="N18" s="352">
        <f t="shared" si="2"/>
        <v>0</v>
      </c>
      <c r="O18" s="353">
        <f>N18*'Cash-flow 6.2025'!$D$57/12</f>
        <v>0</v>
      </c>
      <c r="Q18" s="355">
        <v>45597</v>
      </c>
      <c r="R18" s="351">
        <v>0</v>
      </c>
      <c r="S18" s="352">
        <f t="shared" si="3"/>
        <v>0</v>
      </c>
      <c r="T18" s="353">
        <f>S18*'Cash-flow 6.2025'!$D$58/12</f>
        <v>0</v>
      </c>
    </row>
    <row r="19" spans="2:20" ht="15" customHeight="1">
      <c r="B19" s="355">
        <v>45627</v>
      </c>
      <c r="C19" s="351">
        <v>0</v>
      </c>
      <c r="D19" s="352">
        <f t="shared" si="0"/>
        <v>0</v>
      </c>
      <c r="E19" s="353">
        <f>D19*'Cash-flow'!$D$55/12</f>
        <v>0</v>
      </c>
      <c r="G19" s="355">
        <v>45627</v>
      </c>
      <c r="H19" s="351">
        <v>0</v>
      </c>
      <c r="I19" s="352">
        <f t="shared" si="1"/>
        <v>0</v>
      </c>
      <c r="J19" s="353">
        <f>I19*'Cash-flow'!$D$56/12</f>
        <v>0</v>
      </c>
      <c r="L19" s="355">
        <v>45627</v>
      </c>
      <c r="M19" s="351">
        <v>0</v>
      </c>
      <c r="N19" s="352">
        <f t="shared" si="2"/>
        <v>0</v>
      </c>
      <c r="O19" s="353">
        <f>N19*'Cash-flow 6.2025'!$D$57/12</f>
        <v>0</v>
      </c>
      <c r="Q19" s="355">
        <v>45627</v>
      </c>
      <c r="R19" s="351">
        <v>0</v>
      </c>
      <c r="S19" s="352">
        <f t="shared" si="3"/>
        <v>0</v>
      </c>
      <c r="T19" s="353">
        <f>S19*'Cash-flow 6.2025'!$D$58/12</f>
        <v>0</v>
      </c>
    </row>
    <row r="20" spans="2:20" ht="15" customHeight="1">
      <c r="B20" s="350">
        <v>45658</v>
      </c>
      <c r="C20" s="351">
        <v>0</v>
      </c>
      <c r="D20" s="352">
        <f t="shared" si="0"/>
        <v>0</v>
      </c>
      <c r="E20" s="353">
        <f>D20*'Cash-flow'!$D$55/12</f>
        <v>0</v>
      </c>
      <c r="G20" s="350">
        <v>45658</v>
      </c>
      <c r="H20" s="351">
        <v>0</v>
      </c>
      <c r="I20" s="352">
        <f t="shared" si="1"/>
        <v>0</v>
      </c>
      <c r="J20" s="353">
        <f>I20*'Cash-flow'!$D$56/12</f>
        <v>0</v>
      </c>
      <c r="L20" s="350">
        <v>45658</v>
      </c>
      <c r="M20" s="351">
        <v>0</v>
      </c>
      <c r="N20" s="352">
        <f t="shared" si="2"/>
        <v>0</v>
      </c>
      <c r="O20" s="353">
        <f>N20*'Cash-flow 6.2025'!$D$57/12</f>
        <v>0</v>
      </c>
      <c r="Q20" s="350">
        <v>45658</v>
      </c>
      <c r="R20" s="351">
        <v>0</v>
      </c>
      <c r="S20" s="352">
        <f t="shared" si="3"/>
        <v>0</v>
      </c>
      <c r="T20" s="353">
        <f>S20*'Cash-flow 6.2025'!$D$58/12</f>
        <v>0</v>
      </c>
    </row>
    <row r="21" spans="2:20" ht="15" customHeight="1">
      <c r="B21" s="355">
        <v>45689</v>
      </c>
      <c r="C21" s="351">
        <v>0</v>
      </c>
      <c r="D21" s="352">
        <f t="shared" si="0"/>
        <v>0</v>
      </c>
      <c r="E21" s="353">
        <f>D21*'Cash-flow'!$D$55/12</f>
        <v>0</v>
      </c>
      <c r="G21" s="355">
        <v>45689</v>
      </c>
      <c r="H21" s="351">
        <v>0</v>
      </c>
      <c r="I21" s="352">
        <f t="shared" si="1"/>
        <v>0</v>
      </c>
      <c r="J21" s="353">
        <f>I21*'Cash-flow'!$D$56/12</f>
        <v>0</v>
      </c>
      <c r="L21" s="355">
        <v>45689</v>
      </c>
      <c r="M21" s="351">
        <v>0</v>
      </c>
      <c r="N21" s="352">
        <f t="shared" si="2"/>
        <v>0</v>
      </c>
      <c r="O21" s="353">
        <f>N21*'Cash-flow 6.2025'!$D$57/12</f>
        <v>0</v>
      </c>
      <c r="Q21" s="355">
        <v>45689</v>
      </c>
      <c r="R21" s="351">
        <v>0</v>
      </c>
      <c r="S21" s="352">
        <f t="shared" si="3"/>
        <v>0</v>
      </c>
      <c r="T21" s="353">
        <f>S21*'Cash-flow 6.2025'!$D$58/12</f>
        <v>0</v>
      </c>
    </row>
    <row r="22" spans="2:20" ht="15" customHeight="1">
      <c r="B22" s="355">
        <v>45717</v>
      </c>
      <c r="C22" s="351">
        <v>0</v>
      </c>
      <c r="D22" s="352">
        <f t="shared" si="0"/>
        <v>0</v>
      </c>
      <c r="E22" s="353">
        <f>D22*'Cash-flow'!$D$55/12</f>
        <v>0</v>
      </c>
      <c r="G22" s="355">
        <v>45717</v>
      </c>
      <c r="H22" s="351">
        <v>-1200000</v>
      </c>
      <c r="I22" s="352">
        <f t="shared" si="1"/>
        <v>1200000</v>
      </c>
      <c r="J22" s="353">
        <f>I22*'Cash-flow'!$D$56/12</f>
        <v>11000</v>
      </c>
      <c r="L22" s="355">
        <v>45717</v>
      </c>
      <c r="M22" s="351">
        <v>0</v>
      </c>
      <c r="N22" s="352">
        <f t="shared" si="2"/>
        <v>0</v>
      </c>
      <c r="O22" s="353">
        <f>N22*'Cash-flow 6.2025'!$D$57/12</f>
        <v>0</v>
      </c>
      <c r="Q22" s="355">
        <v>45717</v>
      </c>
      <c r="R22" s="351">
        <v>0</v>
      </c>
      <c r="S22" s="352">
        <f t="shared" si="3"/>
        <v>0</v>
      </c>
      <c r="T22" s="353">
        <f>S22*'Cash-flow 6.2025'!$D$58/12</f>
        <v>0</v>
      </c>
    </row>
    <row r="23" spans="2:20" ht="15" customHeight="1">
      <c r="B23" s="355">
        <v>45748</v>
      </c>
      <c r="C23" s="351">
        <v>0</v>
      </c>
      <c r="D23" s="352">
        <f t="shared" si="0"/>
        <v>0</v>
      </c>
      <c r="E23" s="353">
        <f>D23*'Cash-flow'!$D$55/12</f>
        <v>0</v>
      </c>
      <c r="G23" s="355">
        <v>45748</v>
      </c>
      <c r="H23" s="351">
        <v>-15000000</v>
      </c>
      <c r="I23" s="352">
        <f t="shared" si="1"/>
        <v>16200000</v>
      </c>
      <c r="J23" s="353">
        <f>I23*'Cash-flow'!$D$56/12</f>
        <v>148500</v>
      </c>
      <c r="L23" s="355">
        <v>45748</v>
      </c>
      <c r="M23" s="351">
        <v>0</v>
      </c>
      <c r="N23" s="352">
        <f t="shared" si="2"/>
        <v>0</v>
      </c>
      <c r="O23" s="353">
        <f>N23*'Cash-flow 6.2025'!$D$57/12</f>
        <v>0</v>
      </c>
      <c r="Q23" s="355">
        <v>45748</v>
      </c>
      <c r="R23" s="351">
        <v>0</v>
      </c>
      <c r="S23" s="352">
        <f t="shared" si="3"/>
        <v>0</v>
      </c>
      <c r="T23" s="353">
        <f>S23*'Cash-flow 6.2025'!$D$58/12</f>
        <v>0</v>
      </c>
    </row>
    <row r="24" spans="2:20" ht="15" customHeight="1">
      <c r="B24" s="355">
        <v>45778</v>
      </c>
      <c r="C24" s="351">
        <v>0</v>
      </c>
      <c r="D24" s="352">
        <f t="shared" si="0"/>
        <v>0</v>
      </c>
      <c r="E24" s="353">
        <f>D24*'Cash-flow'!$D$55/12</f>
        <v>0</v>
      </c>
      <c r="G24" s="355">
        <v>45778</v>
      </c>
      <c r="H24" s="351">
        <v>-3700000</v>
      </c>
      <c r="I24" s="352">
        <f t="shared" si="1"/>
        <v>19900000</v>
      </c>
      <c r="J24" s="353">
        <f>I24*'Cash-flow'!$D$56/12</f>
        <v>182416.66666666666</v>
      </c>
      <c r="L24" s="355">
        <v>45778</v>
      </c>
      <c r="M24" s="351">
        <v>-25000000</v>
      </c>
      <c r="N24" s="352">
        <f t="shared" si="2"/>
        <v>25000000</v>
      </c>
      <c r="O24" s="353">
        <f>N24*'Cash-flow 6.2025'!$D$57/12</f>
        <v>229166.66666666666</v>
      </c>
      <c r="Q24" s="355">
        <v>45778</v>
      </c>
      <c r="R24" s="351">
        <v>0</v>
      </c>
      <c r="S24" s="352">
        <f t="shared" si="3"/>
        <v>0</v>
      </c>
      <c r="T24" s="353">
        <f>S24*'Cash-flow 6.2025'!$D$58/12</f>
        <v>0</v>
      </c>
    </row>
    <row r="25" spans="2:20" ht="15" customHeight="1">
      <c r="B25" s="356">
        <v>45809</v>
      </c>
      <c r="C25" s="351">
        <v>0</v>
      </c>
      <c r="D25" s="352">
        <f t="shared" si="0"/>
        <v>0</v>
      </c>
      <c r="E25" s="353">
        <f>D25*'Cash-flow'!$D$55/12</f>
        <v>0</v>
      </c>
      <c r="G25" s="356">
        <v>45809</v>
      </c>
      <c r="H25" s="351">
        <v>0</v>
      </c>
      <c r="I25" s="352">
        <f t="shared" si="1"/>
        <v>19900000</v>
      </c>
      <c r="J25" s="353">
        <f>I25*'Cash-flow'!$D$56/12</f>
        <v>182416.66666666666</v>
      </c>
      <c r="L25" s="356">
        <v>45809</v>
      </c>
      <c r="M25" s="351">
        <v>-6500000</v>
      </c>
      <c r="N25" s="352">
        <f t="shared" si="2"/>
        <v>31500000</v>
      </c>
      <c r="O25" s="353">
        <f>N25*'Cash-flow 6.2025'!$D$57/12</f>
        <v>288750</v>
      </c>
      <c r="Q25" s="356">
        <v>45809</v>
      </c>
      <c r="R25" s="351">
        <v>0</v>
      </c>
      <c r="S25" s="352">
        <f t="shared" si="3"/>
        <v>0</v>
      </c>
      <c r="T25" s="353">
        <f>S25*'Cash-flow 6.2025'!$D$58/12</f>
        <v>0</v>
      </c>
    </row>
    <row r="26" spans="2:20" ht="15" customHeight="1">
      <c r="B26" s="355">
        <v>45839</v>
      </c>
      <c r="C26" s="351">
        <v>0</v>
      </c>
      <c r="D26" s="352">
        <f t="shared" si="0"/>
        <v>0</v>
      </c>
      <c r="E26" s="353">
        <f>D26*'Cash-flow'!$D$55/12</f>
        <v>0</v>
      </c>
      <c r="G26" s="355">
        <v>45839</v>
      </c>
      <c r="H26" s="351">
        <v>0</v>
      </c>
      <c r="I26" s="352">
        <f t="shared" si="1"/>
        <v>19900000</v>
      </c>
      <c r="J26" s="353">
        <f>I26*'Cash-flow'!$D$56/12</f>
        <v>182416.66666666666</v>
      </c>
      <c r="L26" s="355">
        <v>45839</v>
      </c>
      <c r="M26" s="351">
        <v>-1000000</v>
      </c>
      <c r="N26" s="352">
        <f t="shared" si="2"/>
        <v>32500000</v>
      </c>
      <c r="O26" s="353">
        <f>N26*'Cash-flow 6.2025'!$D$57/12</f>
        <v>297916.66666666669</v>
      </c>
      <c r="Q26" s="355">
        <v>45839</v>
      </c>
      <c r="R26" s="351">
        <v>0</v>
      </c>
      <c r="S26" s="352">
        <f t="shared" si="3"/>
        <v>0</v>
      </c>
      <c r="T26" s="353">
        <f>S26*'Cash-flow 6.2025'!$D$58/12</f>
        <v>0</v>
      </c>
    </row>
    <row r="27" spans="2:20" ht="15" customHeight="1">
      <c r="B27" s="355">
        <v>45870</v>
      </c>
      <c r="C27" s="351">
        <v>0</v>
      </c>
      <c r="D27" s="352">
        <f t="shared" si="0"/>
        <v>0</v>
      </c>
      <c r="E27" s="353">
        <f>D27*'Cash-flow'!$D$55/12</f>
        <v>0</v>
      </c>
      <c r="G27" s="355">
        <v>45870</v>
      </c>
      <c r="H27" s="351">
        <v>0</v>
      </c>
      <c r="I27" s="352">
        <f t="shared" si="1"/>
        <v>19900000</v>
      </c>
      <c r="J27" s="353">
        <f>I27*'Cash-flow'!$D$56/12</f>
        <v>182416.66666666666</v>
      </c>
      <c r="L27" s="355">
        <v>45870</v>
      </c>
      <c r="M27" s="351">
        <v>-2000000</v>
      </c>
      <c r="N27" s="352">
        <f t="shared" si="2"/>
        <v>34500000</v>
      </c>
      <c r="O27" s="353">
        <f>N27*'Cash-flow 6.2025'!$D$57/12</f>
        <v>316250</v>
      </c>
      <c r="Q27" s="355">
        <v>45870</v>
      </c>
      <c r="R27" s="351">
        <v>0</v>
      </c>
      <c r="S27" s="352">
        <f t="shared" si="3"/>
        <v>0</v>
      </c>
      <c r="T27" s="353">
        <f>S27*'Cash-flow 6.2025'!$D$58/12</f>
        <v>0</v>
      </c>
    </row>
    <row r="28" spans="2:20" ht="15" customHeight="1">
      <c r="B28" s="355">
        <v>45901</v>
      </c>
      <c r="C28" s="351">
        <v>0</v>
      </c>
      <c r="D28" s="352">
        <f t="shared" si="0"/>
        <v>0</v>
      </c>
      <c r="E28" s="353">
        <f>D28*'Cash-flow'!$D$55/12</f>
        <v>0</v>
      </c>
      <c r="G28" s="355">
        <v>45901</v>
      </c>
      <c r="H28" s="351">
        <v>0</v>
      </c>
      <c r="I28" s="352">
        <f t="shared" si="1"/>
        <v>19900000</v>
      </c>
      <c r="J28" s="353">
        <f>I28*'Cash-flow'!$D$56/12</f>
        <v>182416.66666666666</v>
      </c>
      <c r="L28" s="355">
        <v>45901</v>
      </c>
      <c r="M28" s="351">
        <v>-9500000</v>
      </c>
      <c r="N28" s="352">
        <f t="shared" si="2"/>
        <v>44000000</v>
      </c>
      <c r="O28" s="353">
        <f>N28*'Cash-flow 6.2025'!$D$57/12</f>
        <v>403333.33333333331</v>
      </c>
      <c r="Q28" s="355">
        <v>45901</v>
      </c>
      <c r="R28" s="351">
        <v>0</v>
      </c>
      <c r="S28" s="352">
        <f t="shared" si="3"/>
        <v>0</v>
      </c>
      <c r="T28" s="353">
        <f>S28*'Cash-flow 6.2025'!$D$58/12</f>
        <v>0</v>
      </c>
    </row>
    <row r="29" spans="2:20" ht="15" customHeight="1">
      <c r="B29" s="355">
        <v>45931</v>
      </c>
      <c r="C29" s="351">
        <v>0</v>
      </c>
      <c r="D29" s="352">
        <f t="shared" si="0"/>
        <v>0</v>
      </c>
      <c r="E29" s="353">
        <f>D29*'Cash-flow'!$D$55/12</f>
        <v>0</v>
      </c>
      <c r="G29" s="355">
        <v>45931</v>
      </c>
      <c r="H29" s="351">
        <v>0</v>
      </c>
      <c r="I29" s="352">
        <f t="shared" si="1"/>
        <v>19900000</v>
      </c>
      <c r="J29" s="353">
        <f>I29*'Cash-flow'!$D$56/12</f>
        <v>182416.66666666666</v>
      </c>
      <c r="L29" s="355">
        <v>45931</v>
      </c>
      <c r="M29" s="351">
        <v>-6000000</v>
      </c>
      <c r="N29" s="352">
        <f t="shared" si="2"/>
        <v>50000000</v>
      </c>
      <c r="O29" s="353">
        <f>N29*'Cash-flow 6.2025'!$D$57/12</f>
        <v>458333.33333333331</v>
      </c>
      <c r="Q29" s="355">
        <v>45931</v>
      </c>
      <c r="R29" s="351">
        <v>0</v>
      </c>
      <c r="S29" s="352">
        <f t="shared" si="3"/>
        <v>0</v>
      </c>
      <c r="T29" s="353">
        <f>S29*'Cash-flow 6.2025'!$D$58/12</f>
        <v>0</v>
      </c>
    </row>
    <row r="30" spans="2:20" ht="15" customHeight="1">
      <c r="B30" s="355">
        <v>45962</v>
      </c>
      <c r="C30" s="351">
        <v>0</v>
      </c>
      <c r="D30" s="352">
        <f t="shared" si="0"/>
        <v>0</v>
      </c>
      <c r="E30" s="353">
        <f>D30*'Cash-flow'!$D$55/12</f>
        <v>0</v>
      </c>
      <c r="G30" s="355">
        <v>45962</v>
      </c>
      <c r="H30" s="351">
        <v>0</v>
      </c>
      <c r="I30" s="352">
        <f t="shared" si="1"/>
        <v>19900000</v>
      </c>
      <c r="J30" s="353">
        <f>I30*'Cash-flow'!$D$56/12</f>
        <v>182416.66666666666</v>
      </c>
      <c r="L30" s="355">
        <v>45962</v>
      </c>
      <c r="M30" s="351">
        <v>0</v>
      </c>
      <c r="N30" s="352">
        <f t="shared" si="2"/>
        <v>50000000</v>
      </c>
      <c r="O30" s="353">
        <f>N30*'Cash-flow 6.2025'!$D$57/12</f>
        <v>458333.33333333331</v>
      </c>
      <c r="Q30" s="355">
        <v>45962</v>
      </c>
      <c r="R30" s="351">
        <v>0</v>
      </c>
      <c r="S30" s="352">
        <f t="shared" si="3"/>
        <v>0</v>
      </c>
      <c r="T30" s="353">
        <f>S30*'Cash-flow 6.2025'!$D$58/12</f>
        <v>0</v>
      </c>
    </row>
    <row r="31" spans="2:20" ht="15" customHeight="1">
      <c r="B31" s="355">
        <v>45992</v>
      </c>
      <c r="C31" s="351">
        <v>0</v>
      </c>
      <c r="D31" s="352">
        <f t="shared" si="0"/>
        <v>0</v>
      </c>
      <c r="E31" s="353">
        <f>D31*'Cash-flow'!$D$55/12</f>
        <v>0</v>
      </c>
      <c r="G31" s="355">
        <v>45992</v>
      </c>
      <c r="H31" s="351">
        <v>0</v>
      </c>
      <c r="I31" s="352">
        <f t="shared" si="1"/>
        <v>19900000</v>
      </c>
      <c r="J31" s="353">
        <f>I31*'Cash-flow'!$D$56/12</f>
        <v>182416.66666666666</v>
      </c>
      <c r="L31" s="355">
        <v>45992</v>
      </c>
      <c r="M31" s="351">
        <v>0</v>
      </c>
      <c r="N31" s="352">
        <f t="shared" si="2"/>
        <v>50000000</v>
      </c>
      <c r="O31" s="353">
        <f>N31*'Cash-flow 6.2025'!$D$57/12</f>
        <v>458333.33333333331</v>
      </c>
      <c r="Q31" s="355">
        <v>45992</v>
      </c>
      <c r="R31" s="351">
        <v>0</v>
      </c>
      <c r="S31" s="352">
        <f t="shared" si="3"/>
        <v>0</v>
      </c>
      <c r="T31" s="353">
        <f>S31*'Cash-flow 6.2025'!$D$58/12</f>
        <v>0</v>
      </c>
    </row>
    <row r="32" spans="2:20" ht="15" customHeight="1">
      <c r="B32" s="350">
        <v>46023</v>
      </c>
      <c r="C32" s="351">
        <v>0</v>
      </c>
      <c r="D32" s="352">
        <f t="shared" si="0"/>
        <v>0</v>
      </c>
      <c r="E32" s="353">
        <f>D32*'Cash-flow'!$D$55/12</f>
        <v>0</v>
      </c>
      <c r="G32" s="350">
        <v>46023</v>
      </c>
      <c r="H32" s="351">
        <v>19900000</v>
      </c>
      <c r="I32" s="352">
        <f t="shared" si="1"/>
        <v>0</v>
      </c>
      <c r="J32" s="353">
        <f>I32*'Cash-flow'!$D$56/12</f>
        <v>0</v>
      </c>
      <c r="L32" s="350">
        <v>46023</v>
      </c>
      <c r="M32" s="351">
        <v>0</v>
      </c>
      <c r="N32" s="352">
        <f t="shared" si="2"/>
        <v>50000000</v>
      </c>
      <c r="O32" s="353">
        <f>N32*'Cash-flow 6.2025'!$D$57/12</f>
        <v>458333.33333333331</v>
      </c>
      <c r="Q32" s="350">
        <v>46023</v>
      </c>
      <c r="R32" s="351">
        <v>0</v>
      </c>
      <c r="S32" s="352">
        <f t="shared" si="3"/>
        <v>0</v>
      </c>
      <c r="T32" s="353">
        <f>S32*'Cash-flow 6.2025'!$D$58/12</f>
        <v>0</v>
      </c>
    </row>
    <row r="33" spans="2:20" ht="15" customHeight="1">
      <c r="B33" s="355">
        <v>46054</v>
      </c>
      <c r="C33" s="351">
        <v>0</v>
      </c>
      <c r="D33" s="352">
        <f t="shared" si="0"/>
        <v>0</v>
      </c>
      <c r="E33" s="353">
        <f>D33*'Cash-flow'!$D$55/12</f>
        <v>0</v>
      </c>
      <c r="G33" s="355">
        <v>46054</v>
      </c>
      <c r="H33" s="351">
        <v>0</v>
      </c>
      <c r="I33" s="352">
        <f t="shared" si="1"/>
        <v>0</v>
      </c>
      <c r="J33" s="353">
        <f>I33*'Cash-flow'!$D$56/12</f>
        <v>0</v>
      </c>
      <c r="L33" s="355">
        <v>46054</v>
      </c>
      <c r="M33" s="351">
        <v>0</v>
      </c>
      <c r="N33" s="352">
        <f t="shared" si="2"/>
        <v>50000000</v>
      </c>
      <c r="O33" s="353">
        <f>N33*'Cash-flow 6.2025'!$D$57/12</f>
        <v>458333.33333333331</v>
      </c>
      <c r="Q33" s="355">
        <v>46054</v>
      </c>
      <c r="R33" s="351">
        <v>0</v>
      </c>
      <c r="S33" s="352">
        <f t="shared" si="3"/>
        <v>0</v>
      </c>
      <c r="T33" s="353">
        <f>S33*'Cash-flow 6.2025'!$D$58/12</f>
        <v>0</v>
      </c>
    </row>
    <row r="34" spans="2:20" ht="15" customHeight="1">
      <c r="B34" s="355">
        <v>46082</v>
      </c>
      <c r="C34" s="351">
        <v>0</v>
      </c>
      <c r="D34" s="352">
        <f t="shared" si="0"/>
        <v>0</v>
      </c>
      <c r="E34" s="353">
        <f>D34*'Cash-flow'!$D$55/12</f>
        <v>0</v>
      </c>
      <c r="G34" s="355">
        <v>46082</v>
      </c>
      <c r="H34" s="351">
        <v>0</v>
      </c>
      <c r="I34" s="352">
        <f t="shared" si="1"/>
        <v>0</v>
      </c>
      <c r="J34" s="353">
        <f>I34*'Cash-flow'!$D$56/12</f>
        <v>0</v>
      </c>
      <c r="L34" s="355">
        <v>46082</v>
      </c>
      <c r="M34" s="351">
        <v>0</v>
      </c>
      <c r="N34" s="352">
        <f t="shared" si="2"/>
        <v>50000000</v>
      </c>
      <c r="O34" s="353">
        <f>N34*'Cash-flow 6.2025'!$D$57/12</f>
        <v>458333.33333333331</v>
      </c>
      <c r="Q34" s="355">
        <v>46082</v>
      </c>
      <c r="R34" s="351">
        <v>0</v>
      </c>
      <c r="S34" s="352">
        <f t="shared" si="3"/>
        <v>0</v>
      </c>
      <c r="T34" s="353">
        <f>S34*'Cash-flow 6.2025'!$D$58/12</f>
        <v>0</v>
      </c>
    </row>
    <row r="35" spans="2:20" ht="15" customHeight="1">
      <c r="B35" s="355">
        <v>46113</v>
      </c>
      <c r="C35" s="351">
        <v>0</v>
      </c>
      <c r="D35" s="352">
        <f t="shared" si="0"/>
        <v>0</v>
      </c>
      <c r="E35" s="353">
        <f>D35*'Cash-flow'!$D$55/12</f>
        <v>0</v>
      </c>
      <c r="G35" s="355">
        <v>46113</v>
      </c>
      <c r="H35" s="351">
        <v>0</v>
      </c>
      <c r="I35" s="352">
        <f t="shared" si="1"/>
        <v>0</v>
      </c>
      <c r="J35" s="353">
        <f>I35*'Cash-flow'!$D$56/12</f>
        <v>0</v>
      </c>
      <c r="L35" s="355">
        <v>46113</v>
      </c>
      <c r="M35" s="351">
        <v>0</v>
      </c>
      <c r="N35" s="352">
        <f t="shared" si="2"/>
        <v>50000000</v>
      </c>
      <c r="O35" s="353">
        <f>N35*'Cash-flow 6.2025'!$D$57/12</f>
        <v>458333.33333333331</v>
      </c>
      <c r="Q35" s="355">
        <v>46113</v>
      </c>
      <c r="R35" s="351">
        <v>0</v>
      </c>
      <c r="S35" s="352">
        <f t="shared" si="3"/>
        <v>0</v>
      </c>
      <c r="T35" s="353">
        <f>S35*'Cash-flow 6.2025'!$D$58/12</f>
        <v>0</v>
      </c>
    </row>
    <row r="36" spans="2:20" ht="15" customHeight="1">
      <c r="B36" s="355">
        <v>46143</v>
      </c>
      <c r="C36" s="351">
        <v>0</v>
      </c>
      <c r="D36" s="352">
        <f t="shared" si="0"/>
        <v>0</v>
      </c>
      <c r="E36" s="353">
        <f>D36*'Cash-flow'!$D$55/12</f>
        <v>0</v>
      </c>
      <c r="G36" s="355">
        <v>46143</v>
      </c>
      <c r="H36" s="351">
        <v>0</v>
      </c>
      <c r="I36" s="352">
        <f t="shared" si="1"/>
        <v>0</v>
      </c>
      <c r="J36" s="353">
        <f>I36*'Cash-flow'!$D$56/12</f>
        <v>0</v>
      </c>
      <c r="L36" s="355">
        <v>46143</v>
      </c>
      <c r="M36" s="351">
        <v>0</v>
      </c>
      <c r="N36" s="352">
        <f t="shared" si="2"/>
        <v>50000000</v>
      </c>
      <c r="O36" s="353">
        <f>N36*'Cash-flow 6.2025'!$D$57/12</f>
        <v>458333.33333333331</v>
      </c>
      <c r="Q36" s="355">
        <v>46143</v>
      </c>
      <c r="R36" s="351">
        <v>0</v>
      </c>
      <c r="S36" s="352">
        <f t="shared" si="3"/>
        <v>0</v>
      </c>
      <c r="T36" s="353">
        <f>S36*'Cash-flow 6.2025'!$D$58/12</f>
        <v>0</v>
      </c>
    </row>
    <row r="37" spans="2:20" ht="15" customHeight="1">
      <c r="B37" s="356">
        <v>46174</v>
      </c>
      <c r="C37" s="351">
        <v>0</v>
      </c>
      <c r="D37" s="352">
        <f t="shared" si="0"/>
        <v>0</v>
      </c>
      <c r="E37" s="353">
        <f>D37*'Cash-flow'!$D$55/12</f>
        <v>0</v>
      </c>
      <c r="G37" s="356">
        <v>46174</v>
      </c>
      <c r="H37" s="351">
        <v>0</v>
      </c>
      <c r="I37" s="352">
        <f t="shared" si="1"/>
        <v>0</v>
      </c>
      <c r="J37" s="353">
        <f>I37*'Cash-flow'!$D$56/12</f>
        <v>0</v>
      </c>
      <c r="L37" s="356">
        <v>46174</v>
      </c>
      <c r="M37" s="351">
        <v>0</v>
      </c>
      <c r="N37" s="352">
        <f t="shared" si="2"/>
        <v>50000000</v>
      </c>
      <c r="O37" s="353">
        <f>N37*'Cash-flow 6.2025'!$D$57/12</f>
        <v>458333.33333333331</v>
      </c>
      <c r="P37" s="475">
        <f>-SUM(O24:O37)-O37</f>
        <v>-6118749.9999999991</v>
      </c>
      <c r="Q37" s="356">
        <v>46174</v>
      </c>
      <c r="R37" s="351">
        <v>0</v>
      </c>
      <c r="S37" s="352">
        <f t="shared" si="3"/>
        <v>0</v>
      </c>
      <c r="T37" s="353">
        <f>S37*'Cash-flow 6.2025'!$D$58/12</f>
        <v>0</v>
      </c>
    </row>
    <row r="38" spans="2:20" ht="15" customHeight="1">
      <c r="B38" s="355">
        <v>46204</v>
      </c>
      <c r="C38" s="351">
        <v>0</v>
      </c>
      <c r="D38" s="352">
        <f t="shared" si="0"/>
        <v>0</v>
      </c>
      <c r="E38" s="353">
        <f>D38*'Cash-flow'!$D$55/12</f>
        <v>0</v>
      </c>
      <c r="G38" s="355">
        <v>46204</v>
      </c>
      <c r="H38" s="351">
        <v>0</v>
      </c>
      <c r="I38" s="352">
        <f t="shared" si="1"/>
        <v>0</v>
      </c>
      <c r="J38" s="353">
        <f>I38*'Cash-flow'!$D$56/12</f>
        <v>0</v>
      </c>
      <c r="L38" s="355">
        <v>46204</v>
      </c>
      <c r="M38" s="351">
        <v>50000000</v>
      </c>
      <c r="N38" s="352">
        <f t="shared" si="2"/>
        <v>0</v>
      </c>
      <c r="O38" s="353">
        <f>N38*'Cash-flow 6.2025'!$D$57/12</f>
        <v>0</v>
      </c>
      <c r="Q38" s="355">
        <v>46204</v>
      </c>
      <c r="R38" s="351">
        <v>0</v>
      </c>
      <c r="S38" s="352">
        <f t="shared" si="3"/>
        <v>0</v>
      </c>
      <c r="T38" s="353">
        <f>S38*'Cash-flow 6.2025'!$D$58/12</f>
        <v>0</v>
      </c>
    </row>
    <row r="39" spans="2:20" ht="15" customHeight="1">
      <c r="B39" s="355">
        <v>46235</v>
      </c>
      <c r="C39" s="351">
        <v>0</v>
      </c>
      <c r="D39" s="352">
        <f t="shared" si="0"/>
        <v>0</v>
      </c>
      <c r="E39" s="353">
        <f>D39*'Cash-flow'!$D$55/12</f>
        <v>0</v>
      </c>
      <c r="G39" s="355">
        <v>46235</v>
      </c>
      <c r="H39" s="351">
        <v>0</v>
      </c>
      <c r="I39" s="352">
        <f t="shared" si="1"/>
        <v>0</v>
      </c>
      <c r="J39" s="353">
        <f>I39*'Cash-flow'!$D$56/12</f>
        <v>0</v>
      </c>
      <c r="L39" s="355">
        <v>46235</v>
      </c>
      <c r="M39" s="351">
        <v>0</v>
      </c>
      <c r="N39" s="352">
        <f t="shared" si="2"/>
        <v>0</v>
      </c>
      <c r="O39" s="353">
        <f>N39*'Cash-flow 6.2025'!$D$57/12</f>
        <v>0</v>
      </c>
      <c r="Q39" s="355">
        <v>46235</v>
      </c>
      <c r="R39" s="351">
        <v>0</v>
      </c>
      <c r="S39" s="352">
        <f t="shared" si="3"/>
        <v>0</v>
      </c>
      <c r="T39" s="353">
        <f>S39*'Cash-flow 6.2025'!$D$58/12</f>
        <v>0</v>
      </c>
    </row>
    <row r="40" spans="2:20" ht="15" customHeight="1">
      <c r="B40" s="355">
        <v>46266</v>
      </c>
      <c r="C40" s="351">
        <v>0</v>
      </c>
      <c r="D40" s="352">
        <f t="shared" si="0"/>
        <v>0</v>
      </c>
      <c r="E40" s="353">
        <f>D40*'Cash-flow'!$D$55/12</f>
        <v>0</v>
      </c>
      <c r="G40" s="355">
        <v>46266</v>
      </c>
      <c r="H40" s="351">
        <v>0</v>
      </c>
      <c r="I40" s="352">
        <f t="shared" si="1"/>
        <v>0</v>
      </c>
      <c r="J40" s="353">
        <f>I40*'Cash-flow'!$D$56/12</f>
        <v>0</v>
      </c>
      <c r="L40" s="355">
        <v>46266</v>
      </c>
      <c r="M40" s="351">
        <v>0</v>
      </c>
      <c r="N40" s="352">
        <f t="shared" si="2"/>
        <v>0</v>
      </c>
      <c r="O40" s="353">
        <f>N40*'Cash-flow 6.2025'!$D$57/12</f>
        <v>0</v>
      </c>
      <c r="Q40" s="355">
        <v>46266</v>
      </c>
      <c r="R40" s="351">
        <v>0</v>
      </c>
      <c r="S40" s="352">
        <f t="shared" si="3"/>
        <v>0</v>
      </c>
      <c r="T40" s="353">
        <f>S40*'Cash-flow 6.2025'!$D$58/12</f>
        <v>0</v>
      </c>
    </row>
    <row r="41" spans="2:20" ht="15" customHeight="1">
      <c r="B41" s="355">
        <v>46296</v>
      </c>
      <c r="C41" s="351">
        <v>0</v>
      </c>
      <c r="D41" s="352">
        <f t="shared" si="0"/>
        <v>0</v>
      </c>
      <c r="E41" s="353">
        <f>D41*'Cash-flow'!$D$55/12</f>
        <v>0</v>
      </c>
      <c r="G41" s="355">
        <v>46296</v>
      </c>
      <c r="H41" s="351">
        <v>0</v>
      </c>
      <c r="I41" s="352">
        <f t="shared" si="1"/>
        <v>0</v>
      </c>
      <c r="J41" s="353">
        <f>I41*'Cash-flow'!$D$56/12</f>
        <v>0</v>
      </c>
      <c r="L41" s="355">
        <v>46296</v>
      </c>
      <c r="M41" s="351">
        <v>0</v>
      </c>
      <c r="N41" s="352">
        <f t="shared" si="2"/>
        <v>0</v>
      </c>
      <c r="O41" s="353">
        <f>N41*'Cash-flow 6.2025'!$D$57/12</f>
        <v>0</v>
      </c>
      <c r="Q41" s="355">
        <v>46296</v>
      </c>
      <c r="R41" s="351">
        <v>0</v>
      </c>
      <c r="S41" s="352">
        <f t="shared" si="3"/>
        <v>0</v>
      </c>
      <c r="T41" s="353">
        <f>S41*'Cash-flow 6.2025'!$D$58/12</f>
        <v>0</v>
      </c>
    </row>
    <row r="42" spans="2:20" ht="15" customHeight="1">
      <c r="B42" s="355">
        <v>46327</v>
      </c>
      <c r="C42" s="351">
        <v>0</v>
      </c>
      <c r="D42" s="352">
        <f t="shared" si="0"/>
        <v>0</v>
      </c>
      <c r="E42" s="353">
        <f>D42*'Cash-flow'!$D$55/12</f>
        <v>0</v>
      </c>
      <c r="G42" s="355">
        <v>46327</v>
      </c>
      <c r="H42" s="351">
        <v>0</v>
      </c>
      <c r="I42" s="352">
        <f t="shared" si="1"/>
        <v>0</v>
      </c>
      <c r="J42" s="353">
        <f>I42*'Cash-flow'!$D$56/12</f>
        <v>0</v>
      </c>
      <c r="L42" s="355">
        <v>46327</v>
      </c>
      <c r="M42" s="351">
        <v>0</v>
      </c>
      <c r="N42" s="352">
        <f t="shared" si="2"/>
        <v>0</v>
      </c>
      <c r="O42" s="353">
        <f>N42*'Cash-flow 6.2025'!$D$57/12</f>
        <v>0</v>
      </c>
      <c r="Q42" s="355">
        <v>46327</v>
      </c>
      <c r="R42" s="351">
        <v>0</v>
      </c>
      <c r="S42" s="352">
        <f t="shared" si="3"/>
        <v>0</v>
      </c>
      <c r="T42" s="353">
        <f>S42*'Cash-flow 6.2025'!$D$58/12</f>
        <v>0</v>
      </c>
    </row>
    <row r="43" spans="2:20" ht="15" customHeight="1">
      <c r="B43" s="355">
        <v>46357</v>
      </c>
      <c r="C43" s="351">
        <v>0</v>
      </c>
      <c r="D43" s="352">
        <f t="shared" si="0"/>
        <v>0</v>
      </c>
      <c r="E43" s="353">
        <f>D43*'Cash-flow'!$D$55/12</f>
        <v>0</v>
      </c>
      <c r="G43" s="355">
        <v>46357</v>
      </c>
      <c r="H43" s="351">
        <v>0</v>
      </c>
      <c r="I43" s="352">
        <f t="shared" si="1"/>
        <v>0</v>
      </c>
      <c r="J43" s="353">
        <f>I43*'Cash-flow'!$D$56/12</f>
        <v>0</v>
      </c>
      <c r="L43" s="355">
        <v>46357</v>
      </c>
      <c r="M43" s="351">
        <v>0</v>
      </c>
      <c r="N43" s="352">
        <f t="shared" si="2"/>
        <v>0</v>
      </c>
      <c r="O43" s="353">
        <f>N43*'Cash-flow 6.2025'!$D$57/12</f>
        <v>0</v>
      </c>
      <c r="Q43" s="355">
        <v>46357</v>
      </c>
      <c r="R43" s="351">
        <v>0</v>
      </c>
      <c r="S43" s="352">
        <f t="shared" si="3"/>
        <v>0</v>
      </c>
      <c r="T43" s="353">
        <f>S43*'Cash-flow 6.2025'!$D$58/12</f>
        <v>0</v>
      </c>
    </row>
    <row r="44" spans="2:20" ht="15" customHeight="1">
      <c r="B44" s="350">
        <v>46388</v>
      </c>
      <c r="C44" s="351">
        <v>0</v>
      </c>
      <c r="D44" s="352">
        <f t="shared" si="0"/>
        <v>0</v>
      </c>
      <c r="E44" s="353">
        <f>D44*'Cash-flow'!$D$55/12</f>
        <v>0</v>
      </c>
      <c r="G44" s="350">
        <v>46388</v>
      </c>
      <c r="H44" s="351">
        <v>0</v>
      </c>
      <c r="I44" s="352">
        <f t="shared" si="1"/>
        <v>0</v>
      </c>
      <c r="J44" s="353">
        <f>I44*'Cash-flow'!$D$56/12</f>
        <v>0</v>
      </c>
      <c r="L44" s="350">
        <v>46388</v>
      </c>
      <c r="M44" s="351">
        <v>0</v>
      </c>
      <c r="N44" s="352">
        <f t="shared" si="2"/>
        <v>0</v>
      </c>
      <c r="O44" s="353">
        <f>N44*'Cash-flow 6.2025'!$D$57/12</f>
        <v>0</v>
      </c>
      <c r="Q44" s="350">
        <v>46388</v>
      </c>
      <c r="R44" s="351">
        <v>0</v>
      </c>
      <c r="S44" s="352">
        <f t="shared" si="3"/>
        <v>0</v>
      </c>
      <c r="T44" s="353">
        <f>S44*'Cash-flow 6.2025'!$D$58/12</f>
        <v>0</v>
      </c>
    </row>
    <row r="45" spans="2:20" ht="15" customHeight="1">
      <c r="B45" s="355">
        <v>46419</v>
      </c>
      <c r="C45" s="351">
        <v>0</v>
      </c>
      <c r="D45" s="352">
        <f t="shared" si="0"/>
        <v>0</v>
      </c>
      <c r="E45" s="353">
        <f>D45*'Cash-flow'!$D$55/12</f>
        <v>0</v>
      </c>
      <c r="G45" s="355">
        <v>46419</v>
      </c>
      <c r="H45" s="351">
        <v>0</v>
      </c>
      <c r="I45" s="352">
        <f t="shared" si="1"/>
        <v>0</v>
      </c>
      <c r="J45" s="353">
        <f>I45*'Cash-flow'!$D$56/12</f>
        <v>0</v>
      </c>
      <c r="L45" s="355">
        <v>46419</v>
      </c>
      <c r="M45" s="351">
        <v>0</v>
      </c>
      <c r="N45" s="352">
        <f t="shared" si="2"/>
        <v>0</v>
      </c>
      <c r="O45" s="353">
        <f>N45*'Cash-flow 6.2025'!$D$57/12</f>
        <v>0</v>
      </c>
      <c r="Q45" s="355">
        <v>46419</v>
      </c>
      <c r="R45" s="351">
        <v>0</v>
      </c>
      <c r="S45" s="352">
        <f t="shared" si="3"/>
        <v>0</v>
      </c>
      <c r="T45" s="353">
        <f>S45*'Cash-flow 6.2025'!$D$58/12</f>
        <v>0</v>
      </c>
    </row>
    <row r="46" spans="2:20" ht="15" customHeight="1">
      <c r="B46" s="355">
        <v>46447</v>
      </c>
      <c r="C46" s="351">
        <v>0</v>
      </c>
      <c r="D46" s="352">
        <f t="shared" si="0"/>
        <v>0</v>
      </c>
      <c r="E46" s="353">
        <f>D46*'Cash-flow'!$D$55/12</f>
        <v>0</v>
      </c>
      <c r="G46" s="355">
        <v>46447</v>
      </c>
      <c r="H46" s="351">
        <v>0</v>
      </c>
      <c r="I46" s="352">
        <f t="shared" si="1"/>
        <v>0</v>
      </c>
      <c r="J46" s="353">
        <f>I46*'Cash-flow'!$D$56/12</f>
        <v>0</v>
      </c>
      <c r="L46" s="355">
        <v>46447</v>
      </c>
      <c r="M46" s="351">
        <v>0</v>
      </c>
      <c r="N46" s="352">
        <f t="shared" si="2"/>
        <v>0</v>
      </c>
      <c r="O46" s="353">
        <f>N46*'Cash-flow 6.2025'!$D$57/12</f>
        <v>0</v>
      </c>
      <c r="Q46" s="355">
        <v>46447</v>
      </c>
      <c r="R46" s="351">
        <v>0</v>
      </c>
      <c r="S46" s="352">
        <f t="shared" si="3"/>
        <v>0</v>
      </c>
      <c r="T46" s="353">
        <f>S46*'Cash-flow 6.2025'!$D$58/12</f>
        <v>0</v>
      </c>
    </row>
    <row r="47" spans="2:20" ht="15" customHeight="1">
      <c r="B47" s="355">
        <v>46478</v>
      </c>
      <c r="C47" s="351">
        <v>0</v>
      </c>
      <c r="D47" s="352">
        <f t="shared" si="0"/>
        <v>0</v>
      </c>
      <c r="E47" s="353">
        <f>D47*'Cash-flow'!$D$55/12</f>
        <v>0</v>
      </c>
      <c r="G47" s="355">
        <v>46478</v>
      </c>
      <c r="H47" s="351">
        <v>0</v>
      </c>
      <c r="I47" s="352">
        <f t="shared" si="1"/>
        <v>0</v>
      </c>
      <c r="J47" s="353">
        <f>I47*'Cash-flow'!$D$56/12</f>
        <v>0</v>
      </c>
      <c r="L47" s="355">
        <v>46478</v>
      </c>
      <c r="M47" s="351">
        <v>0</v>
      </c>
      <c r="N47" s="352">
        <f t="shared" si="2"/>
        <v>0</v>
      </c>
      <c r="O47" s="353">
        <f>N47*'Cash-flow 6.2025'!$D$57/12</f>
        <v>0</v>
      </c>
      <c r="Q47" s="355">
        <v>46478</v>
      </c>
      <c r="R47" s="351">
        <v>0</v>
      </c>
      <c r="S47" s="352">
        <f t="shared" si="3"/>
        <v>0</v>
      </c>
      <c r="T47" s="353">
        <f>S47*'Cash-flow 6.2025'!$D$58/12</f>
        <v>0</v>
      </c>
    </row>
    <row r="48" spans="2:20" ht="15" customHeight="1">
      <c r="B48" s="355">
        <v>46508</v>
      </c>
      <c r="C48" s="351">
        <v>0</v>
      </c>
      <c r="D48" s="352">
        <f t="shared" si="0"/>
        <v>0</v>
      </c>
      <c r="E48" s="353">
        <f>D48*'Cash-flow'!$D$55/12</f>
        <v>0</v>
      </c>
      <c r="G48" s="355">
        <v>46508</v>
      </c>
      <c r="H48" s="351">
        <v>0</v>
      </c>
      <c r="I48" s="352">
        <f t="shared" si="1"/>
        <v>0</v>
      </c>
      <c r="J48" s="353">
        <f>I48*'Cash-flow'!$D$56/12</f>
        <v>0</v>
      </c>
      <c r="L48" s="355">
        <v>46508</v>
      </c>
      <c r="M48" s="351">
        <v>0</v>
      </c>
      <c r="N48" s="352">
        <f t="shared" si="2"/>
        <v>0</v>
      </c>
      <c r="O48" s="353">
        <f>N48*'Cash-flow 6.2025'!$D$57/12</f>
        <v>0</v>
      </c>
      <c r="Q48" s="355">
        <v>46508</v>
      </c>
      <c r="R48" s="351">
        <v>0</v>
      </c>
      <c r="S48" s="352">
        <f t="shared" si="3"/>
        <v>0</v>
      </c>
      <c r="T48" s="353">
        <f>S48*'Cash-flow 6.2025'!$D$58/12</f>
        <v>0</v>
      </c>
    </row>
    <row r="49" spans="2:20" ht="15" customHeight="1">
      <c r="B49" s="356">
        <v>46539</v>
      </c>
      <c r="C49" s="351">
        <v>0</v>
      </c>
      <c r="D49" s="352">
        <f t="shared" si="0"/>
        <v>0</v>
      </c>
      <c r="E49" s="353">
        <f>D49*'Cash-flow'!$D$55/12</f>
        <v>0</v>
      </c>
      <c r="G49" s="356">
        <v>46539</v>
      </c>
      <c r="H49" s="351">
        <v>0</v>
      </c>
      <c r="I49" s="352">
        <f t="shared" si="1"/>
        <v>0</v>
      </c>
      <c r="J49" s="353">
        <f>I49*'Cash-flow'!$D$56/12</f>
        <v>0</v>
      </c>
      <c r="L49" s="356">
        <v>46539</v>
      </c>
      <c r="M49" s="351">
        <v>0</v>
      </c>
      <c r="N49" s="352">
        <f t="shared" si="2"/>
        <v>0</v>
      </c>
      <c r="O49" s="353">
        <f>N49*'Cash-flow 6.2025'!$D$57/12</f>
        <v>0</v>
      </c>
      <c r="Q49" s="356">
        <v>46539</v>
      </c>
      <c r="R49" s="351">
        <v>0</v>
      </c>
      <c r="S49" s="352">
        <f t="shared" si="3"/>
        <v>0</v>
      </c>
      <c r="T49" s="353">
        <f>S49*'Cash-flow 6.2025'!$D$58/12</f>
        <v>0</v>
      </c>
    </row>
    <row r="50" spans="2:20" ht="15" customHeight="1">
      <c r="B50" s="355">
        <v>46569</v>
      </c>
      <c r="C50" s="351">
        <v>0</v>
      </c>
      <c r="D50" s="352">
        <f t="shared" si="0"/>
        <v>0</v>
      </c>
      <c r="E50" s="353">
        <f>D50*'Cash-flow'!$D$55/12</f>
        <v>0</v>
      </c>
      <c r="G50" s="355">
        <v>46569</v>
      </c>
      <c r="H50" s="351">
        <v>0</v>
      </c>
      <c r="I50" s="352">
        <f t="shared" si="1"/>
        <v>0</v>
      </c>
      <c r="J50" s="353">
        <f>I50*'Cash-flow'!$D$56/12</f>
        <v>0</v>
      </c>
      <c r="L50" s="355">
        <v>46569</v>
      </c>
      <c r="M50" s="351">
        <v>0</v>
      </c>
      <c r="N50" s="352">
        <f t="shared" si="2"/>
        <v>0</v>
      </c>
      <c r="O50" s="353">
        <f>N50*'Cash-flow 6.2025'!$D$57/12</f>
        <v>0</v>
      </c>
      <c r="Q50" s="355">
        <v>46569</v>
      </c>
      <c r="R50" s="351">
        <v>0</v>
      </c>
      <c r="S50" s="352">
        <f t="shared" si="3"/>
        <v>0</v>
      </c>
      <c r="T50" s="353">
        <f>S50*'Cash-flow 6.2025'!$D$58/12</f>
        <v>0</v>
      </c>
    </row>
    <row r="51" spans="2:20" ht="15" customHeight="1">
      <c r="B51" s="355">
        <v>46600</v>
      </c>
      <c r="C51" s="351">
        <v>0</v>
      </c>
      <c r="D51" s="352">
        <f t="shared" si="0"/>
        <v>0</v>
      </c>
      <c r="E51" s="353">
        <f>D51*'Cash-flow'!$D$55/12</f>
        <v>0</v>
      </c>
      <c r="G51" s="355">
        <v>46600</v>
      </c>
      <c r="H51" s="351">
        <v>0</v>
      </c>
      <c r="I51" s="352">
        <f t="shared" si="1"/>
        <v>0</v>
      </c>
      <c r="J51" s="353">
        <f>I51*'Cash-flow'!$D$56/12</f>
        <v>0</v>
      </c>
      <c r="L51" s="355">
        <v>46600</v>
      </c>
      <c r="M51" s="351">
        <v>0</v>
      </c>
      <c r="N51" s="352">
        <f t="shared" si="2"/>
        <v>0</v>
      </c>
      <c r="O51" s="353">
        <f>N51*'Cash-flow 6.2025'!$D$57/12</f>
        <v>0</v>
      </c>
      <c r="Q51" s="355">
        <v>46600</v>
      </c>
      <c r="R51" s="351">
        <v>0</v>
      </c>
      <c r="S51" s="352">
        <f t="shared" si="3"/>
        <v>0</v>
      </c>
      <c r="T51" s="353">
        <f>S51*'Cash-flow 6.2025'!$D$58/12</f>
        <v>0</v>
      </c>
    </row>
    <row r="52" spans="2:20" ht="15" customHeight="1">
      <c r="B52" s="355">
        <v>46631</v>
      </c>
      <c r="C52" s="351">
        <v>0</v>
      </c>
      <c r="D52" s="352">
        <f t="shared" si="0"/>
        <v>0</v>
      </c>
      <c r="E52" s="353">
        <f>D52*'Cash-flow'!$D$55/12</f>
        <v>0</v>
      </c>
      <c r="G52" s="355">
        <v>46631</v>
      </c>
      <c r="H52" s="351">
        <v>0</v>
      </c>
      <c r="I52" s="352">
        <f t="shared" si="1"/>
        <v>0</v>
      </c>
      <c r="J52" s="353">
        <f>I52*'Cash-flow'!$D$56/12</f>
        <v>0</v>
      </c>
      <c r="L52" s="355">
        <v>46631</v>
      </c>
      <c r="M52" s="351">
        <v>0</v>
      </c>
      <c r="N52" s="352">
        <f t="shared" si="2"/>
        <v>0</v>
      </c>
      <c r="O52" s="353">
        <f>N52*'Cash-flow 6.2025'!$D$57/12</f>
        <v>0</v>
      </c>
      <c r="Q52" s="355">
        <v>46631</v>
      </c>
      <c r="R52" s="351">
        <v>0</v>
      </c>
      <c r="S52" s="352">
        <f t="shared" si="3"/>
        <v>0</v>
      </c>
      <c r="T52" s="353">
        <f>S52*'Cash-flow 6.2025'!$D$58/12</f>
        <v>0</v>
      </c>
    </row>
    <row r="53" spans="2:20" ht="15" customHeight="1">
      <c r="B53" s="355">
        <v>46661</v>
      </c>
      <c r="C53" s="351">
        <v>0</v>
      </c>
      <c r="D53" s="352">
        <f t="shared" si="0"/>
        <v>0</v>
      </c>
      <c r="E53" s="353">
        <f>D53*'Cash-flow'!$D$55/12</f>
        <v>0</v>
      </c>
      <c r="G53" s="355">
        <v>46661</v>
      </c>
      <c r="H53" s="351">
        <v>0</v>
      </c>
      <c r="I53" s="352">
        <f t="shared" si="1"/>
        <v>0</v>
      </c>
      <c r="J53" s="353">
        <f>I53*'Cash-flow'!$D$56/12</f>
        <v>0</v>
      </c>
      <c r="L53" s="355">
        <v>46661</v>
      </c>
      <c r="M53" s="351">
        <v>0</v>
      </c>
      <c r="N53" s="352">
        <f t="shared" si="2"/>
        <v>0</v>
      </c>
      <c r="O53" s="353">
        <f>N53*'Cash-flow 6.2025'!$D$57/12</f>
        <v>0</v>
      </c>
      <c r="Q53" s="355">
        <v>46661</v>
      </c>
      <c r="R53" s="351">
        <v>0</v>
      </c>
      <c r="S53" s="352">
        <f t="shared" si="3"/>
        <v>0</v>
      </c>
      <c r="T53" s="353">
        <f>S53*'Cash-flow 6.2025'!$D$58/12</f>
        <v>0</v>
      </c>
    </row>
    <row r="54" spans="2:20" ht="15" customHeight="1">
      <c r="B54" s="355">
        <v>46692</v>
      </c>
      <c r="C54" s="351">
        <v>0</v>
      </c>
      <c r="D54" s="352">
        <f t="shared" si="0"/>
        <v>0</v>
      </c>
      <c r="E54" s="353">
        <f>D54*'Cash-flow'!$D$55/12</f>
        <v>0</v>
      </c>
      <c r="G54" s="355">
        <v>46692</v>
      </c>
      <c r="H54" s="351">
        <v>0</v>
      </c>
      <c r="I54" s="352">
        <f t="shared" si="1"/>
        <v>0</v>
      </c>
      <c r="J54" s="353">
        <f>I54*'Cash-flow'!$D$56/12</f>
        <v>0</v>
      </c>
      <c r="L54" s="355">
        <v>46692</v>
      </c>
      <c r="M54" s="351">
        <v>0</v>
      </c>
      <c r="N54" s="352">
        <f t="shared" si="2"/>
        <v>0</v>
      </c>
      <c r="O54" s="353">
        <f>N54*'Cash-flow 6.2025'!$D$57/12</f>
        <v>0</v>
      </c>
      <c r="Q54" s="355">
        <v>46692</v>
      </c>
      <c r="R54" s="351">
        <v>0</v>
      </c>
      <c r="S54" s="352">
        <f t="shared" si="3"/>
        <v>0</v>
      </c>
      <c r="T54" s="353">
        <f>S54*'Cash-flow 6.2025'!$D$58/12</f>
        <v>0</v>
      </c>
    </row>
    <row r="55" spans="2:20" ht="15" customHeight="1">
      <c r="B55" s="355">
        <v>46722</v>
      </c>
      <c r="C55" s="351">
        <v>0</v>
      </c>
      <c r="D55" s="352">
        <f t="shared" si="0"/>
        <v>0</v>
      </c>
      <c r="E55" s="353">
        <f>D55*'Cash-flow'!$D$55/12</f>
        <v>0</v>
      </c>
      <c r="G55" s="355">
        <v>46722</v>
      </c>
      <c r="H55" s="351">
        <v>0</v>
      </c>
      <c r="I55" s="352">
        <f t="shared" si="1"/>
        <v>0</v>
      </c>
      <c r="J55" s="353">
        <f>I55*'Cash-flow'!$D$56/12</f>
        <v>0</v>
      </c>
      <c r="L55" s="355">
        <v>46722</v>
      </c>
      <c r="M55" s="351">
        <v>0</v>
      </c>
      <c r="N55" s="352">
        <f t="shared" si="2"/>
        <v>0</v>
      </c>
      <c r="O55" s="353">
        <f>N55*'Cash-flow 6.2025'!$D$57/12</f>
        <v>0</v>
      </c>
      <c r="Q55" s="355">
        <v>46722</v>
      </c>
      <c r="R55" s="351">
        <v>0</v>
      </c>
      <c r="S55" s="352">
        <f t="shared" si="3"/>
        <v>0</v>
      </c>
      <c r="T55" s="353">
        <f>S55*'Cash-flow 6.2025'!$D$58/12</f>
        <v>0</v>
      </c>
    </row>
    <row r="56" spans="2:20" ht="15" customHeight="1">
      <c r="B56" s="350">
        <v>46753</v>
      </c>
      <c r="C56" s="351">
        <v>0</v>
      </c>
      <c r="D56" s="352">
        <f t="shared" si="0"/>
        <v>0</v>
      </c>
      <c r="E56" s="353">
        <f>D56*'Cash-flow'!$D$55/12</f>
        <v>0</v>
      </c>
      <c r="G56" s="350">
        <v>46753</v>
      </c>
      <c r="H56" s="351">
        <v>0</v>
      </c>
      <c r="I56" s="352">
        <f t="shared" si="1"/>
        <v>0</v>
      </c>
      <c r="J56" s="353">
        <f>I56*'Cash-flow'!$D$56/12</f>
        <v>0</v>
      </c>
      <c r="L56" s="350">
        <v>46753</v>
      </c>
      <c r="M56" s="351">
        <v>0</v>
      </c>
      <c r="N56" s="352">
        <f t="shared" si="2"/>
        <v>0</v>
      </c>
      <c r="O56" s="353">
        <f>N56*'Cash-flow 6.2025'!$D$57/12</f>
        <v>0</v>
      </c>
      <c r="Q56" s="350">
        <v>46753</v>
      </c>
      <c r="R56" s="351">
        <v>0</v>
      </c>
      <c r="S56" s="352">
        <f t="shared" si="3"/>
        <v>0</v>
      </c>
      <c r="T56" s="353">
        <f>S56*'Cash-flow 6.2025'!$D$58/12</f>
        <v>0</v>
      </c>
    </row>
    <row r="57" spans="2:20" ht="15" customHeight="1">
      <c r="B57" s="355">
        <v>46784</v>
      </c>
      <c r="C57" s="351">
        <v>0</v>
      </c>
      <c r="D57" s="352">
        <f t="shared" si="0"/>
        <v>0</v>
      </c>
      <c r="E57" s="353">
        <f>D57*'Cash-flow'!$D$55/12</f>
        <v>0</v>
      </c>
      <c r="G57" s="355">
        <v>46784</v>
      </c>
      <c r="H57" s="351">
        <v>0</v>
      </c>
      <c r="I57" s="352">
        <f t="shared" si="1"/>
        <v>0</v>
      </c>
      <c r="J57" s="353">
        <f>I57*'Cash-flow'!$D$56/12</f>
        <v>0</v>
      </c>
      <c r="L57" s="355">
        <v>46784</v>
      </c>
      <c r="M57" s="351">
        <v>0</v>
      </c>
      <c r="N57" s="352">
        <f t="shared" si="2"/>
        <v>0</v>
      </c>
      <c r="O57" s="353">
        <f>N57*'Cash-flow 6.2025'!$D$57/12</f>
        <v>0</v>
      </c>
      <c r="Q57" s="355">
        <v>46784</v>
      </c>
      <c r="R57" s="351">
        <v>0</v>
      </c>
      <c r="S57" s="352">
        <f t="shared" si="3"/>
        <v>0</v>
      </c>
      <c r="T57" s="353">
        <f>S57*'Cash-flow 6.2025'!$D$58/12</f>
        <v>0</v>
      </c>
    </row>
    <row r="58" spans="2:20" ht="15" customHeight="1">
      <c r="B58" s="355">
        <v>46813</v>
      </c>
      <c r="C58" s="351">
        <v>0</v>
      </c>
      <c r="D58" s="352">
        <f t="shared" si="0"/>
        <v>0</v>
      </c>
      <c r="E58" s="353">
        <f>D58*'Cash-flow'!$D$55/12</f>
        <v>0</v>
      </c>
      <c r="G58" s="355">
        <v>46813</v>
      </c>
      <c r="H58" s="351">
        <v>0</v>
      </c>
      <c r="I58" s="352">
        <f t="shared" si="1"/>
        <v>0</v>
      </c>
      <c r="J58" s="353">
        <f>I58*'Cash-flow'!$D$56/12</f>
        <v>0</v>
      </c>
      <c r="L58" s="355">
        <v>46813</v>
      </c>
      <c r="M58" s="351">
        <v>0</v>
      </c>
      <c r="N58" s="352">
        <f t="shared" si="2"/>
        <v>0</v>
      </c>
      <c r="O58" s="353">
        <f>N58*'Cash-flow 6.2025'!$D$57/12</f>
        <v>0</v>
      </c>
      <c r="Q58" s="355">
        <v>46813</v>
      </c>
      <c r="R58" s="351">
        <v>0</v>
      </c>
      <c r="S58" s="352">
        <f t="shared" si="3"/>
        <v>0</v>
      </c>
      <c r="T58" s="353">
        <f>S58*'Cash-flow 6.2025'!$D$58/12</f>
        <v>0</v>
      </c>
    </row>
    <row r="59" spans="2:20" ht="15" customHeight="1">
      <c r="B59" s="355">
        <v>46844</v>
      </c>
      <c r="C59" s="351">
        <v>0</v>
      </c>
      <c r="D59" s="352">
        <f t="shared" si="0"/>
        <v>0</v>
      </c>
      <c r="E59" s="353">
        <f>D59*'Cash-flow'!$D$55/12</f>
        <v>0</v>
      </c>
      <c r="G59" s="355">
        <v>46844</v>
      </c>
      <c r="H59" s="351">
        <v>0</v>
      </c>
      <c r="I59" s="352">
        <f t="shared" si="1"/>
        <v>0</v>
      </c>
      <c r="J59" s="353">
        <f>I59*'Cash-flow'!$D$56/12</f>
        <v>0</v>
      </c>
      <c r="L59" s="355">
        <v>46844</v>
      </c>
      <c r="M59" s="351">
        <v>0</v>
      </c>
      <c r="N59" s="352">
        <f t="shared" si="2"/>
        <v>0</v>
      </c>
      <c r="O59" s="353">
        <f>N59*'Cash-flow 6.2025'!$D$57/12</f>
        <v>0</v>
      </c>
      <c r="Q59" s="355">
        <v>46844</v>
      </c>
      <c r="R59" s="351">
        <v>0</v>
      </c>
      <c r="S59" s="352">
        <f t="shared" si="3"/>
        <v>0</v>
      </c>
      <c r="T59" s="353">
        <f>S59*'Cash-flow 6.2025'!$D$58/12</f>
        <v>0</v>
      </c>
    </row>
    <row r="60" spans="2:20" ht="14.1">
      <c r="B60" s="355">
        <v>46874</v>
      </c>
      <c r="C60" s="351">
        <v>0</v>
      </c>
      <c r="D60" s="352">
        <f t="shared" si="0"/>
        <v>0</v>
      </c>
      <c r="E60" s="353">
        <f>D60*'Cash-flow'!$D$55/12</f>
        <v>0</v>
      </c>
      <c r="G60" s="355">
        <v>46874</v>
      </c>
      <c r="H60" s="351">
        <v>0</v>
      </c>
      <c r="I60" s="352">
        <f t="shared" si="1"/>
        <v>0</v>
      </c>
      <c r="J60" s="353">
        <f>I60*'Cash-flow'!$D$56/12</f>
        <v>0</v>
      </c>
      <c r="L60" s="355">
        <v>46874</v>
      </c>
      <c r="M60" s="351">
        <v>0</v>
      </c>
      <c r="N60" s="352">
        <f t="shared" si="2"/>
        <v>0</v>
      </c>
      <c r="O60" s="353">
        <f>N60*'Cash-flow 6.2025'!$D$57/12</f>
        <v>0</v>
      </c>
      <c r="Q60" s="355">
        <v>46874</v>
      </c>
      <c r="R60" s="351">
        <v>0</v>
      </c>
      <c r="S60" s="352">
        <f t="shared" si="3"/>
        <v>0</v>
      </c>
      <c r="T60" s="353">
        <f>S60*'Cash-flow 6.2025'!$D$58/12</f>
        <v>0</v>
      </c>
    </row>
    <row r="61" spans="2:20" ht="14.1">
      <c r="B61" s="356">
        <v>46905</v>
      </c>
      <c r="C61" s="351">
        <v>0</v>
      </c>
      <c r="D61" s="352">
        <f t="shared" si="0"/>
        <v>0</v>
      </c>
      <c r="E61" s="353">
        <f>D61*'Cash-flow'!$D$55/12</f>
        <v>0</v>
      </c>
      <c r="G61" s="356">
        <v>46905</v>
      </c>
      <c r="H61" s="351">
        <v>0</v>
      </c>
      <c r="I61" s="352">
        <f t="shared" si="1"/>
        <v>0</v>
      </c>
      <c r="J61" s="353">
        <f>I61*'Cash-flow'!$D$56/12</f>
        <v>0</v>
      </c>
      <c r="L61" s="356">
        <v>46905</v>
      </c>
      <c r="M61" s="351">
        <v>0</v>
      </c>
      <c r="N61" s="352">
        <f t="shared" si="2"/>
        <v>0</v>
      </c>
      <c r="O61" s="353">
        <f>N61*'Cash-flow 6.2025'!$D$57/12</f>
        <v>0</v>
      </c>
      <c r="Q61" s="356">
        <v>46905</v>
      </c>
      <c r="R61" s="351">
        <v>0</v>
      </c>
      <c r="S61" s="352">
        <f t="shared" si="3"/>
        <v>0</v>
      </c>
      <c r="T61" s="353">
        <f>S61*'Cash-flow 6.2025'!$D$58/12</f>
        <v>0</v>
      </c>
    </row>
    <row r="62" spans="2:20" ht="14.1">
      <c r="B62" s="355">
        <v>46935</v>
      </c>
      <c r="C62" s="351">
        <v>0</v>
      </c>
      <c r="D62" s="352">
        <f t="shared" si="0"/>
        <v>0</v>
      </c>
      <c r="E62" s="353">
        <f>D62*'Cash-flow'!$D$55/12</f>
        <v>0</v>
      </c>
      <c r="G62" s="355">
        <v>46935</v>
      </c>
      <c r="H62" s="351">
        <v>0</v>
      </c>
      <c r="I62" s="352">
        <f t="shared" si="1"/>
        <v>0</v>
      </c>
      <c r="J62" s="353">
        <f>I62*'Cash-flow'!$D$56/12</f>
        <v>0</v>
      </c>
      <c r="L62" s="355">
        <v>46935</v>
      </c>
      <c r="M62" s="351">
        <v>0</v>
      </c>
      <c r="N62" s="352">
        <f t="shared" si="2"/>
        <v>0</v>
      </c>
      <c r="O62" s="353">
        <f>N62*'Cash-flow 6.2025'!$D$57/12</f>
        <v>0</v>
      </c>
      <c r="Q62" s="355">
        <v>46935</v>
      </c>
      <c r="R62" s="351">
        <v>0</v>
      </c>
      <c r="S62" s="352">
        <f t="shared" si="3"/>
        <v>0</v>
      </c>
      <c r="T62" s="353">
        <f>S62*'Cash-flow 6.2025'!$D$58/12</f>
        <v>0</v>
      </c>
    </row>
    <row r="63" spans="2:20" ht="14.1">
      <c r="B63" s="355">
        <v>46966</v>
      </c>
      <c r="C63" s="351">
        <v>0</v>
      </c>
      <c r="D63" s="352">
        <f t="shared" si="0"/>
        <v>0</v>
      </c>
      <c r="E63" s="353">
        <f>D63*'Cash-flow'!$D$55/12</f>
        <v>0</v>
      </c>
      <c r="G63" s="355">
        <v>46966</v>
      </c>
      <c r="H63" s="351">
        <v>0</v>
      </c>
      <c r="I63" s="352">
        <f t="shared" si="1"/>
        <v>0</v>
      </c>
      <c r="J63" s="353">
        <f>I63*'Cash-flow'!$D$56/12</f>
        <v>0</v>
      </c>
      <c r="L63" s="355">
        <v>46966</v>
      </c>
      <c r="M63" s="351">
        <v>0</v>
      </c>
      <c r="N63" s="352">
        <f t="shared" si="2"/>
        <v>0</v>
      </c>
      <c r="O63" s="353">
        <f>N63*'Cash-flow 6.2025'!$D$57/12</f>
        <v>0</v>
      </c>
      <c r="Q63" s="355">
        <v>46966</v>
      </c>
      <c r="R63" s="351">
        <v>0</v>
      </c>
      <c r="S63" s="352">
        <f t="shared" si="3"/>
        <v>0</v>
      </c>
      <c r="T63" s="353">
        <f>S63*'Cash-flow 6.2025'!$D$58/12</f>
        <v>0</v>
      </c>
    </row>
    <row r="64" spans="2:20" ht="14.1">
      <c r="B64" s="355">
        <v>46997</v>
      </c>
      <c r="C64" s="351">
        <v>0</v>
      </c>
      <c r="D64" s="352">
        <f t="shared" si="0"/>
        <v>0</v>
      </c>
      <c r="E64" s="353">
        <f>D64*'Cash-flow'!$D$55/12</f>
        <v>0</v>
      </c>
      <c r="G64" s="355">
        <v>46997</v>
      </c>
      <c r="H64" s="351">
        <v>0</v>
      </c>
      <c r="I64" s="352">
        <f t="shared" si="1"/>
        <v>0</v>
      </c>
      <c r="J64" s="353">
        <f>I64*'Cash-flow'!$D$56/12</f>
        <v>0</v>
      </c>
      <c r="L64" s="355">
        <v>46997</v>
      </c>
      <c r="M64" s="351">
        <v>0</v>
      </c>
      <c r="N64" s="352">
        <f t="shared" si="2"/>
        <v>0</v>
      </c>
      <c r="O64" s="353">
        <f>N64*'Cash-flow 6.2025'!$D$57/12</f>
        <v>0</v>
      </c>
      <c r="Q64" s="355">
        <v>46997</v>
      </c>
      <c r="R64" s="351">
        <v>0</v>
      </c>
      <c r="S64" s="352">
        <f t="shared" si="3"/>
        <v>0</v>
      </c>
      <c r="T64" s="353">
        <f>S64*'Cash-flow 6.2025'!$D$58/12</f>
        <v>0</v>
      </c>
    </row>
    <row r="65" spans="2:20" ht="14.1">
      <c r="B65" s="355">
        <v>47027</v>
      </c>
      <c r="C65" s="351">
        <v>0</v>
      </c>
      <c r="D65" s="352">
        <f t="shared" si="0"/>
        <v>0</v>
      </c>
      <c r="E65" s="353">
        <f>D65*'Cash-flow'!$D$55/12</f>
        <v>0</v>
      </c>
      <c r="G65" s="355">
        <v>47027</v>
      </c>
      <c r="H65" s="351">
        <v>0</v>
      </c>
      <c r="I65" s="352">
        <f t="shared" si="1"/>
        <v>0</v>
      </c>
      <c r="J65" s="353">
        <f>I65*'Cash-flow'!$D$56/12</f>
        <v>0</v>
      </c>
      <c r="L65" s="355">
        <v>47027</v>
      </c>
      <c r="M65" s="351">
        <v>0</v>
      </c>
      <c r="N65" s="352">
        <f t="shared" si="2"/>
        <v>0</v>
      </c>
      <c r="O65" s="353">
        <f>N65*'Cash-flow 6.2025'!$D$57/12</f>
        <v>0</v>
      </c>
      <c r="Q65" s="355">
        <v>47027</v>
      </c>
      <c r="R65" s="351">
        <v>0</v>
      </c>
      <c r="S65" s="352">
        <f t="shared" si="3"/>
        <v>0</v>
      </c>
      <c r="T65" s="353">
        <f>S65*'Cash-flow 6.2025'!$D$58/12</f>
        <v>0</v>
      </c>
    </row>
    <row r="66" spans="2:20" ht="14.1">
      <c r="B66" s="355">
        <v>47058</v>
      </c>
      <c r="C66" s="351">
        <v>0</v>
      </c>
      <c r="D66" s="352">
        <f t="shared" si="0"/>
        <v>0</v>
      </c>
      <c r="E66" s="353">
        <f>D66*'Cash-flow'!$D$55/12</f>
        <v>0</v>
      </c>
      <c r="G66" s="355">
        <v>47058</v>
      </c>
      <c r="H66" s="351">
        <v>0</v>
      </c>
      <c r="I66" s="352">
        <f t="shared" si="1"/>
        <v>0</v>
      </c>
      <c r="J66" s="353">
        <f>I66*'Cash-flow'!$D$56/12</f>
        <v>0</v>
      </c>
      <c r="L66" s="355">
        <v>47058</v>
      </c>
      <c r="M66" s="351">
        <v>0</v>
      </c>
      <c r="N66" s="352">
        <f t="shared" si="2"/>
        <v>0</v>
      </c>
      <c r="O66" s="353">
        <f>N66*'Cash-flow 6.2025'!$D$57/12</f>
        <v>0</v>
      </c>
      <c r="Q66" s="355">
        <v>47058</v>
      </c>
      <c r="R66" s="351">
        <v>0</v>
      </c>
      <c r="S66" s="352">
        <f t="shared" si="3"/>
        <v>0</v>
      </c>
      <c r="T66" s="353">
        <f>S66*'Cash-flow 6.2025'!$D$58/12</f>
        <v>0</v>
      </c>
    </row>
    <row r="67" spans="2:20" ht="14.1">
      <c r="B67" s="355">
        <v>47088</v>
      </c>
      <c r="C67" s="351">
        <v>0</v>
      </c>
      <c r="D67" s="352">
        <f t="shared" si="0"/>
        <v>0</v>
      </c>
      <c r="E67" s="353">
        <f>D67*'Cash-flow'!$D$55/12</f>
        <v>0</v>
      </c>
      <c r="G67" s="355">
        <v>47088</v>
      </c>
      <c r="H67" s="351">
        <v>0</v>
      </c>
      <c r="I67" s="352">
        <f t="shared" si="1"/>
        <v>0</v>
      </c>
      <c r="J67" s="353">
        <f>I67*'Cash-flow'!$D$56/12</f>
        <v>0</v>
      </c>
      <c r="L67" s="355">
        <v>47088</v>
      </c>
      <c r="M67" s="351">
        <v>0</v>
      </c>
      <c r="N67" s="352">
        <f t="shared" si="2"/>
        <v>0</v>
      </c>
      <c r="O67" s="353">
        <f>N67*'Cash-flow 6.2025'!$D$57/12</f>
        <v>0</v>
      </c>
      <c r="Q67" s="355">
        <v>47088</v>
      </c>
      <c r="R67" s="351">
        <v>0</v>
      </c>
      <c r="S67" s="352">
        <f t="shared" si="3"/>
        <v>0</v>
      </c>
      <c r="T67" s="353">
        <f>S67*'Cash-flow 6.2025'!$D$58/12</f>
        <v>0</v>
      </c>
    </row>
    <row r="68" spans="2:20" ht="14.1">
      <c r="B68" s="350">
        <v>47119</v>
      </c>
      <c r="C68" s="351">
        <v>0</v>
      </c>
      <c r="D68" s="352">
        <f t="shared" si="0"/>
        <v>0</v>
      </c>
      <c r="E68" s="353">
        <f>D68*'Cash-flow'!$D$55/12</f>
        <v>0</v>
      </c>
      <c r="G68" s="350">
        <v>47119</v>
      </c>
      <c r="H68" s="351">
        <v>0</v>
      </c>
      <c r="I68" s="352">
        <f t="shared" si="1"/>
        <v>0</v>
      </c>
      <c r="J68" s="353">
        <f>I68*'Cash-flow'!$D$56/12</f>
        <v>0</v>
      </c>
      <c r="L68" s="350">
        <v>47119</v>
      </c>
      <c r="M68" s="351">
        <v>0</v>
      </c>
      <c r="N68" s="352">
        <f t="shared" si="2"/>
        <v>0</v>
      </c>
      <c r="O68" s="353">
        <f>N68*'Cash-flow 6.2025'!$D$57/12</f>
        <v>0</v>
      </c>
      <c r="Q68" s="350">
        <v>47119</v>
      </c>
      <c r="R68" s="351">
        <v>0</v>
      </c>
      <c r="S68" s="352">
        <f t="shared" si="3"/>
        <v>0</v>
      </c>
      <c r="T68" s="353">
        <f>S68*'Cash-flow 6.2025'!$D$58/12</f>
        <v>0</v>
      </c>
    </row>
    <row r="69" spans="2:20" ht="14.1">
      <c r="B69" s="355">
        <v>47150</v>
      </c>
      <c r="C69" s="351">
        <v>0</v>
      </c>
      <c r="D69" s="352">
        <f t="shared" si="0"/>
        <v>0</v>
      </c>
      <c r="E69" s="353">
        <f>D69*'Cash-flow'!$D$55/12</f>
        <v>0</v>
      </c>
      <c r="G69" s="355">
        <v>47150</v>
      </c>
      <c r="H69" s="351">
        <v>0</v>
      </c>
      <c r="I69" s="352">
        <f t="shared" si="1"/>
        <v>0</v>
      </c>
      <c r="J69" s="353">
        <f>I69*'Cash-flow'!$D$56/12</f>
        <v>0</v>
      </c>
      <c r="L69" s="355">
        <v>47150</v>
      </c>
      <c r="M69" s="351">
        <v>0</v>
      </c>
      <c r="N69" s="352">
        <f t="shared" si="2"/>
        <v>0</v>
      </c>
      <c r="O69" s="353">
        <f>N69*'Cash-flow 6.2025'!$D$57/12</f>
        <v>0</v>
      </c>
      <c r="Q69" s="355">
        <v>47150</v>
      </c>
      <c r="R69" s="351">
        <v>0</v>
      </c>
      <c r="S69" s="352">
        <f t="shared" si="3"/>
        <v>0</v>
      </c>
      <c r="T69" s="353">
        <f>S69*'Cash-flow 6.2025'!$D$58/12</f>
        <v>0</v>
      </c>
    </row>
    <row r="70" spans="2:20" ht="14.1">
      <c r="B70" s="355">
        <v>47178</v>
      </c>
      <c r="C70" s="351">
        <v>0</v>
      </c>
      <c r="D70" s="352">
        <f t="shared" si="0"/>
        <v>0</v>
      </c>
      <c r="E70" s="353">
        <f>D70*'Cash-flow'!$D$55/12</f>
        <v>0</v>
      </c>
      <c r="G70" s="355">
        <v>47178</v>
      </c>
      <c r="H70" s="351">
        <v>0</v>
      </c>
      <c r="I70" s="352">
        <f t="shared" si="1"/>
        <v>0</v>
      </c>
      <c r="J70" s="353">
        <f>I70*'Cash-flow'!$D$56/12</f>
        <v>0</v>
      </c>
      <c r="L70" s="355">
        <v>47178</v>
      </c>
      <c r="M70" s="351">
        <v>0</v>
      </c>
      <c r="N70" s="352">
        <f t="shared" si="2"/>
        <v>0</v>
      </c>
      <c r="O70" s="353">
        <f>N70*'Cash-flow 6.2025'!$D$57/12</f>
        <v>0</v>
      </c>
      <c r="Q70" s="355">
        <v>47178</v>
      </c>
      <c r="R70" s="351">
        <v>0</v>
      </c>
      <c r="S70" s="352">
        <f t="shared" si="3"/>
        <v>0</v>
      </c>
      <c r="T70" s="353">
        <f>S70*'Cash-flow 6.2025'!$D$58/12</f>
        <v>0</v>
      </c>
    </row>
    <row r="71" spans="2:20" ht="14.1">
      <c r="B71" s="355">
        <v>47209</v>
      </c>
      <c r="C71" s="351">
        <v>0</v>
      </c>
      <c r="D71" s="352">
        <f t="shared" si="0"/>
        <v>0</v>
      </c>
      <c r="E71" s="353">
        <f>D71*'Cash-flow'!$D$55/12</f>
        <v>0</v>
      </c>
      <c r="G71" s="355">
        <v>47209</v>
      </c>
      <c r="H71" s="351">
        <v>0</v>
      </c>
      <c r="I71" s="352">
        <f t="shared" si="1"/>
        <v>0</v>
      </c>
      <c r="J71" s="353">
        <f>I71*'Cash-flow'!$D$56/12</f>
        <v>0</v>
      </c>
      <c r="L71" s="355">
        <v>47209</v>
      </c>
      <c r="M71" s="351">
        <v>0</v>
      </c>
      <c r="N71" s="352">
        <f t="shared" si="2"/>
        <v>0</v>
      </c>
      <c r="O71" s="353">
        <f>N71*'Cash-flow 6.2025'!$D$57/12</f>
        <v>0</v>
      </c>
      <c r="Q71" s="355">
        <v>47209</v>
      </c>
      <c r="R71" s="351">
        <v>0</v>
      </c>
      <c r="S71" s="352">
        <f t="shared" si="3"/>
        <v>0</v>
      </c>
      <c r="T71" s="353">
        <f>S71*'Cash-flow 6.2025'!$D$58/12</f>
        <v>0</v>
      </c>
    </row>
    <row r="72" spans="2:20" ht="14.1">
      <c r="B72" s="355">
        <v>47239</v>
      </c>
      <c r="C72" s="351">
        <v>0</v>
      </c>
      <c r="D72" s="352">
        <f t="shared" si="0"/>
        <v>0</v>
      </c>
      <c r="E72" s="353">
        <f>D72*'Cash-flow'!$D$55/12</f>
        <v>0</v>
      </c>
      <c r="G72" s="355">
        <v>47239</v>
      </c>
      <c r="H72" s="351">
        <v>0</v>
      </c>
      <c r="I72" s="352">
        <f t="shared" si="1"/>
        <v>0</v>
      </c>
      <c r="J72" s="353">
        <f>I72*'Cash-flow'!$D$56/12</f>
        <v>0</v>
      </c>
      <c r="L72" s="355">
        <v>47239</v>
      </c>
      <c r="M72" s="351">
        <v>0</v>
      </c>
      <c r="N72" s="352">
        <f t="shared" si="2"/>
        <v>0</v>
      </c>
      <c r="O72" s="353">
        <f>N72*'Cash-flow 6.2025'!$D$57/12</f>
        <v>0</v>
      </c>
      <c r="Q72" s="355">
        <v>47239</v>
      </c>
      <c r="R72" s="351">
        <v>0</v>
      </c>
      <c r="S72" s="352">
        <f t="shared" si="3"/>
        <v>0</v>
      </c>
      <c r="T72" s="353">
        <f>S72*'Cash-flow 6.2025'!$D$58/12</f>
        <v>0</v>
      </c>
    </row>
    <row r="73" spans="2:20" ht="14.1">
      <c r="B73" s="356">
        <v>47270</v>
      </c>
      <c r="C73" s="351">
        <v>0</v>
      </c>
      <c r="D73" s="352">
        <f t="shared" si="0"/>
        <v>0</v>
      </c>
      <c r="E73" s="353">
        <f>D73*'Cash-flow'!$D$55/12</f>
        <v>0</v>
      </c>
      <c r="G73" s="356">
        <v>47270</v>
      </c>
      <c r="H73" s="351">
        <v>0</v>
      </c>
      <c r="I73" s="352">
        <f t="shared" si="1"/>
        <v>0</v>
      </c>
      <c r="J73" s="353">
        <f>I73*'Cash-flow'!$D$56/12</f>
        <v>0</v>
      </c>
      <c r="L73" s="356">
        <v>47270</v>
      </c>
      <c r="M73" s="351">
        <v>0</v>
      </c>
      <c r="N73" s="352">
        <f t="shared" si="2"/>
        <v>0</v>
      </c>
      <c r="O73" s="353">
        <f>N73*'Cash-flow 6.2025'!$D$57/12</f>
        <v>0</v>
      </c>
      <c r="Q73" s="356">
        <v>47270</v>
      </c>
      <c r="R73" s="351">
        <v>0</v>
      </c>
      <c r="S73" s="352">
        <f t="shared" si="3"/>
        <v>0</v>
      </c>
      <c r="T73" s="353">
        <f>S73*'Cash-flow 6.2025'!$D$58/12</f>
        <v>0</v>
      </c>
    </row>
    <row r="74" spans="2:20" ht="14.1">
      <c r="B74" s="355">
        <v>47300</v>
      </c>
      <c r="C74" s="351">
        <v>0</v>
      </c>
      <c r="D74" s="352">
        <f t="shared" si="0"/>
        <v>0</v>
      </c>
      <c r="E74" s="353">
        <f>D74*'Cash-flow'!$D$55/12</f>
        <v>0</v>
      </c>
      <c r="G74" s="355">
        <v>47300</v>
      </c>
      <c r="H74" s="351">
        <v>0</v>
      </c>
      <c r="I74" s="352">
        <f t="shared" si="1"/>
        <v>0</v>
      </c>
      <c r="J74" s="353">
        <f>I74*'Cash-flow'!$D$56/12</f>
        <v>0</v>
      </c>
      <c r="L74" s="355">
        <v>47300</v>
      </c>
      <c r="M74" s="351">
        <v>0</v>
      </c>
      <c r="N74" s="352">
        <f t="shared" si="2"/>
        <v>0</v>
      </c>
      <c r="O74" s="353">
        <f>N74*'Cash-flow 6.2025'!$D$57/12</f>
        <v>0</v>
      </c>
      <c r="Q74" s="355">
        <v>47300</v>
      </c>
      <c r="R74" s="351">
        <v>0</v>
      </c>
      <c r="S74" s="352">
        <f t="shared" si="3"/>
        <v>0</v>
      </c>
      <c r="T74" s="353">
        <f>S74*'Cash-flow 6.2025'!$D$58/12</f>
        <v>0</v>
      </c>
    </row>
    <row r="75" spans="2:20" ht="14.1">
      <c r="B75" s="355">
        <v>47331</v>
      </c>
      <c r="C75" s="351">
        <v>0</v>
      </c>
      <c r="D75" s="352">
        <f t="shared" si="0"/>
        <v>0</v>
      </c>
      <c r="E75" s="353">
        <f>D75*'Cash-flow'!$D$55/12</f>
        <v>0</v>
      </c>
      <c r="G75" s="355">
        <v>47331</v>
      </c>
      <c r="H75" s="351">
        <v>0</v>
      </c>
      <c r="I75" s="352">
        <f t="shared" si="1"/>
        <v>0</v>
      </c>
      <c r="J75" s="353">
        <f>I75*'Cash-flow'!$D$56/12</f>
        <v>0</v>
      </c>
      <c r="L75" s="355">
        <v>47331</v>
      </c>
      <c r="M75" s="351">
        <v>0</v>
      </c>
      <c r="N75" s="352">
        <f t="shared" si="2"/>
        <v>0</v>
      </c>
      <c r="O75" s="353">
        <f>N75*'Cash-flow 6.2025'!$D$57/12</f>
        <v>0</v>
      </c>
      <c r="Q75" s="355">
        <v>47331</v>
      </c>
      <c r="R75" s="351">
        <v>0</v>
      </c>
      <c r="S75" s="352">
        <f t="shared" si="3"/>
        <v>0</v>
      </c>
      <c r="T75" s="353">
        <f>S75*'Cash-flow 6.2025'!$D$58/12</f>
        <v>0</v>
      </c>
    </row>
    <row r="76" spans="2:20" ht="14.1">
      <c r="B76" s="355">
        <v>47362</v>
      </c>
      <c r="C76" s="351">
        <v>0</v>
      </c>
      <c r="D76" s="352">
        <f t="shared" si="0"/>
        <v>0</v>
      </c>
      <c r="E76" s="353">
        <f>D76*'Cash-flow'!$D$55/12</f>
        <v>0</v>
      </c>
      <c r="G76" s="355">
        <v>47362</v>
      </c>
      <c r="H76" s="351">
        <v>0</v>
      </c>
      <c r="I76" s="352">
        <f t="shared" si="1"/>
        <v>0</v>
      </c>
      <c r="J76" s="353">
        <f>I76*'Cash-flow'!$D$56/12</f>
        <v>0</v>
      </c>
      <c r="L76" s="355">
        <v>47362</v>
      </c>
      <c r="M76" s="351">
        <v>0</v>
      </c>
      <c r="N76" s="352">
        <f t="shared" si="2"/>
        <v>0</v>
      </c>
      <c r="O76" s="353">
        <f>N76*'Cash-flow 6.2025'!$D$57/12</f>
        <v>0</v>
      </c>
      <c r="Q76" s="355">
        <v>47362</v>
      </c>
      <c r="R76" s="351">
        <v>0</v>
      </c>
      <c r="S76" s="352">
        <f t="shared" si="3"/>
        <v>0</v>
      </c>
      <c r="T76" s="353">
        <f>S76*'Cash-flow 6.2025'!$D$58/12</f>
        <v>0</v>
      </c>
    </row>
    <row r="77" spans="2:20" ht="14.1">
      <c r="B77" s="355">
        <v>47392</v>
      </c>
      <c r="C77" s="351">
        <v>0</v>
      </c>
      <c r="D77" s="352">
        <f t="shared" si="0"/>
        <v>0</v>
      </c>
      <c r="E77" s="353">
        <f>D77*'Cash-flow'!$D$55/12</f>
        <v>0</v>
      </c>
      <c r="G77" s="355">
        <v>47392</v>
      </c>
      <c r="H77" s="351">
        <v>0</v>
      </c>
      <c r="I77" s="352">
        <f t="shared" si="1"/>
        <v>0</v>
      </c>
      <c r="J77" s="353">
        <f>I77*'Cash-flow'!$D$56/12</f>
        <v>0</v>
      </c>
      <c r="L77" s="355">
        <v>47392</v>
      </c>
      <c r="M77" s="351">
        <v>0</v>
      </c>
      <c r="N77" s="352">
        <f t="shared" si="2"/>
        <v>0</v>
      </c>
      <c r="O77" s="353">
        <f>N77*'Cash-flow 6.2025'!$D$57/12</f>
        <v>0</v>
      </c>
      <c r="Q77" s="355">
        <v>47392</v>
      </c>
      <c r="R77" s="351">
        <v>0</v>
      </c>
      <c r="S77" s="352">
        <f t="shared" si="3"/>
        <v>0</v>
      </c>
      <c r="T77" s="353">
        <f>S77*'Cash-flow 6.2025'!$D$58/12</f>
        <v>0</v>
      </c>
    </row>
    <row r="78" spans="2:20" ht="14.1">
      <c r="B78" s="355">
        <v>47423</v>
      </c>
      <c r="C78" s="351">
        <v>0</v>
      </c>
      <c r="D78" s="352">
        <f t="shared" si="0"/>
        <v>0</v>
      </c>
      <c r="E78" s="353">
        <f>D78*'Cash-flow'!$D$55/12</f>
        <v>0</v>
      </c>
      <c r="G78" s="355">
        <v>47423</v>
      </c>
      <c r="H78" s="351">
        <v>0</v>
      </c>
      <c r="I78" s="352">
        <f t="shared" si="1"/>
        <v>0</v>
      </c>
      <c r="J78" s="353">
        <f>I78*'Cash-flow'!$D$56/12</f>
        <v>0</v>
      </c>
      <c r="L78" s="355">
        <v>47423</v>
      </c>
      <c r="M78" s="351">
        <v>0</v>
      </c>
      <c r="N78" s="352">
        <f t="shared" si="2"/>
        <v>0</v>
      </c>
      <c r="O78" s="353">
        <f>N78*'Cash-flow 6.2025'!$D$57/12</f>
        <v>0</v>
      </c>
      <c r="Q78" s="355">
        <v>47423</v>
      </c>
      <c r="R78" s="351">
        <v>0</v>
      </c>
      <c r="S78" s="352">
        <f t="shared" si="3"/>
        <v>0</v>
      </c>
      <c r="T78" s="353">
        <f>S78*'Cash-flow 6.2025'!$D$58/12</f>
        <v>0</v>
      </c>
    </row>
    <row r="79" spans="2:20" ht="14.1">
      <c r="B79" s="355">
        <v>47453</v>
      </c>
      <c r="C79" s="351">
        <v>0</v>
      </c>
      <c r="D79" s="352">
        <f>D78</f>
        <v>0</v>
      </c>
      <c r="E79" s="353">
        <f>D79*'Cash-flow'!$D$55/12</f>
        <v>0</v>
      </c>
      <c r="G79" s="355">
        <v>47453</v>
      </c>
      <c r="H79" s="351">
        <v>0</v>
      </c>
      <c r="I79" s="352">
        <f>I78</f>
        <v>0</v>
      </c>
      <c r="J79" s="353">
        <f>I79*'Cash-flow'!$D$56/12</f>
        <v>0</v>
      </c>
      <c r="L79" s="355">
        <v>47453</v>
      </c>
      <c r="M79" s="351">
        <v>0</v>
      </c>
      <c r="N79" s="352">
        <f>N78</f>
        <v>0</v>
      </c>
      <c r="O79" s="353">
        <f>N79*'Cash-flow 6.2025'!$D$57/12</f>
        <v>0</v>
      </c>
      <c r="Q79" s="355">
        <v>47453</v>
      </c>
      <c r="R79" s="351">
        <v>0</v>
      </c>
      <c r="S79" s="352">
        <f>S78</f>
        <v>0</v>
      </c>
      <c r="T79" s="353">
        <f>S79*'Cash-flow 6.2025'!$D$58/12</f>
        <v>0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b174d07b5b70db0d875d5aa4e282fe5a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6f5315e3b570ed0aa2307cca2bad8990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F55B27-3B9E-491E-B219-255C4C51BC24}"/>
</file>

<file path=customXml/itemProps2.xml><?xml version="1.0" encoding="utf-8"?>
<ds:datastoreItem xmlns:ds="http://schemas.openxmlformats.org/officeDocument/2006/customXml" ds:itemID="{D127A332-8BCC-4848-A5ED-7E5DE0A782F9}"/>
</file>

<file path=customXml/itemProps3.xml><?xml version="1.0" encoding="utf-8"?>
<ds:datastoreItem xmlns:ds="http://schemas.openxmlformats.org/officeDocument/2006/customXml" ds:itemID="{AA117899-CFE3-46AB-9356-7C6C437F98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Václav Pergler</cp:lastModifiedBy>
  <cp:revision/>
  <dcterms:created xsi:type="dcterms:W3CDTF">2025-05-29T16:25:34Z</dcterms:created>
  <dcterms:modified xsi:type="dcterms:W3CDTF">2025-09-15T14:02:44Z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